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0" yWindow="0" windowWidth="25200" windowHeight="1413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H19" i="7" l="1"/>
  <c r="H20" i="7"/>
  <c r="H21" i="7"/>
  <c r="H22" i="7"/>
  <c r="H23" i="7"/>
  <c r="H24" i="7"/>
  <c r="H25" i="7"/>
  <c r="H26" i="7"/>
  <c r="H17" i="7"/>
  <c r="H18" i="7"/>
  <c r="I17" i="7"/>
  <c r="J17" i="7"/>
  <c r="K17" i="7"/>
  <c r="Q17" i="7" s="1"/>
  <c r="L17" i="7"/>
  <c r="M17" i="7"/>
  <c r="N17" i="7"/>
  <c r="O17" i="7"/>
  <c r="P17" i="7"/>
  <c r="R17" i="7"/>
  <c r="S17" i="7"/>
  <c r="T17" i="7"/>
  <c r="U17" i="7"/>
  <c r="V17" i="7"/>
  <c r="W17" i="7"/>
  <c r="H16" i="7"/>
  <c r="I16" i="7"/>
  <c r="J16" i="7"/>
  <c r="K16" i="7"/>
  <c r="L16" i="7"/>
  <c r="M16" i="7"/>
  <c r="N16" i="7"/>
  <c r="O16" i="7"/>
  <c r="P16" i="7"/>
  <c r="R16" i="7"/>
  <c r="S16" i="7"/>
  <c r="T16" i="7"/>
  <c r="U16" i="7"/>
  <c r="V16" i="7"/>
  <c r="W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F14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Q13" i="7" s="1"/>
  <c r="W12" i="7"/>
  <c r="V12" i="7"/>
  <c r="U12" i="7"/>
  <c r="T12" i="7"/>
  <c r="S12" i="7"/>
  <c r="X12" i="7" s="1"/>
  <c r="R12" i="7"/>
  <c r="P12" i="7"/>
  <c r="O12" i="7"/>
  <c r="N12" i="7"/>
  <c r="M12" i="7"/>
  <c r="L12" i="7"/>
  <c r="K12" i="7"/>
  <c r="J12" i="7"/>
  <c r="I12" i="7"/>
  <c r="H12" i="7"/>
  <c r="Q12" i="7" s="1"/>
  <c r="Q16" i="7" l="1"/>
  <c r="Q15" i="7"/>
  <c r="X16" i="7"/>
  <c r="X13" i="7"/>
  <c r="X17" i="7"/>
  <c r="F15" i="7"/>
  <c r="F16" i="7"/>
  <c r="F17" i="7"/>
  <c r="F18" i="7"/>
  <c r="F19" i="7"/>
  <c r="F20" i="7"/>
  <c r="F21" i="7"/>
  <c r="F22" i="7"/>
  <c r="F23" i="7"/>
  <c r="F24" i="7"/>
  <c r="F25" i="7"/>
  <c r="F26" i="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J53" i="18"/>
  <c r="G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F63" i="18" l="1"/>
  <c r="I63" i="18"/>
  <c r="K63" i="18"/>
  <c r="N63" i="18"/>
  <c r="D32" i="18"/>
  <c r="L31" i="18" s="1"/>
  <c r="F53" i="18"/>
  <c r="I53" i="18"/>
  <c r="K53" i="18"/>
  <c r="N53" i="18"/>
  <c r="E63" i="18"/>
  <c r="G63" i="18"/>
  <c r="J63" i="18"/>
  <c r="M63" i="18"/>
  <c r="N21" i="18"/>
  <c r="J21" i="18"/>
  <c r="F21" i="18"/>
  <c r="M21" i="18"/>
  <c r="I21" i="18"/>
  <c r="L21" i="18"/>
  <c r="H21" i="18"/>
  <c r="K21" i="18"/>
  <c r="G21" i="18"/>
  <c r="D56" i="18"/>
  <c r="H31" i="18"/>
  <c r="G31" i="18"/>
  <c r="J31" i="18"/>
  <c r="M31" i="18"/>
  <c r="J55" i="18"/>
  <c r="H53" i="18"/>
  <c r="H63" i="18"/>
  <c r="D66" i="18" s="1"/>
  <c r="D24" i="15"/>
  <c r="C23" i="15"/>
  <c r="I31" i="18" l="1"/>
  <c r="F31" i="18"/>
  <c r="N31" i="18"/>
  <c r="K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31" i="18" l="1"/>
  <c r="E55" i="18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X21" i="7" l="1"/>
  <c r="X25" i="7"/>
  <c r="X11" i="7"/>
  <c r="X24" i="7"/>
  <c r="X23" i="7"/>
  <c r="X20" i="7"/>
  <c r="X19" i="7"/>
  <c r="X26" i="7"/>
  <c r="X22" i="7"/>
  <c r="X18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11" i="8"/>
  <c r="C8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8" i="7" l="1"/>
  <c r="N18" i="7"/>
  <c r="I19" i="7"/>
  <c r="M19" i="7"/>
  <c r="L20" i="7"/>
  <c r="P20" i="7"/>
  <c r="K21" i="7"/>
  <c r="O21" i="7"/>
  <c r="J22" i="7"/>
  <c r="N22" i="7"/>
  <c r="I23" i="7"/>
  <c r="M23" i="7"/>
  <c r="L24" i="7"/>
  <c r="P24" i="7"/>
  <c r="K25" i="7"/>
  <c r="O25" i="7"/>
  <c r="J26" i="7"/>
  <c r="N26" i="7"/>
  <c r="N11" i="7"/>
  <c r="L11" i="7"/>
  <c r="H11" i="7"/>
  <c r="L18" i="7"/>
  <c r="K19" i="7"/>
  <c r="J20" i="7"/>
  <c r="I21" i="7"/>
  <c r="P22" i="7"/>
  <c r="O23" i="7"/>
  <c r="N24" i="7"/>
  <c r="M25" i="7"/>
  <c r="L26" i="7"/>
  <c r="P11" i="7"/>
  <c r="M18" i="7"/>
  <c r="L19" i="7"/>
  <c r="K20" i="7"/>
  <c r="J21" i="7"/>
  <c r="I22" i="7"/>
  <c r="P23" i="7"/>
  <c r="O24" i="7"/>
  <c r="N25" i="7"/>
  <c r="M26" i="7"/>
  <c r="M11" i="7"/>
  <c r="K18" i="7"/>
  <c r="O18" i="7"/>
  <c r="J19" i="7"/>
  <c r="N19" i="7"/>
  <c r="I20" i="7"/>
  <c r="M20" i="7"/>
  <c r="L21" i="7"/>
  <c r="P21" i="7"/>
  <c r="K22" i="7"/>
  <c r="O22" i="7"/>
  <c r="J23" i="7"/>
  <c r="N23" i="7"/>
  <c r="I24" i="7"/>
  <c r="M24" i="7"/>
  <c r="L25" i="7"/>
  <c r="P25" i="7"/>
  <c r="K26" i="7"/>
  <c r="O26" i="7"/>
  <c r="O11" i="7"/>
  <c r="J11" i="7"/>
  <c r="P18" i="7"/>
  <c r="O19" i="7"/>
  <c r="N20" i="7"/>
  <c r="M21" i="7"/>
  <c r="L22" i="7"/>
  <c r="K23" i="7"/>
  <c r="J24" i="7"/>
  <c r="I25" i="7"/>
  <c r="P26" i="7"/>
  <c r="K11" i="7"/>
  <c r="I18" i="7"/>
  <c r="P19" i="7"/>
  <c r="O20" i="7"/>
  <c r="N21" i="7"/>
  <c r="M22" i="7"/>
  <c r="L23" i="7"/>
  <c r="K24" i="7"/>
  <c r="J25" i="7"/>
  <c r="I26" i="7"/>
  <c r="I11" i="7"/>
  <c r="F11" i="7"/>
  <c r="M8" i="4"/>
  <c r="M7" i="4"/>
  <c r="C5" i="1"/>
  <c r="D6" i="15"/>
  <c r="D6" i="7"/>
  <c r="Q18" i="7" l="1"/>
  <c r="Q11" i="7"/>
  <c r="Q20" i="7"/>
  <c r="Q26" i="7"/>
  <c r="Q25" i="7"/>
  <c r="Q21" i="7"/>
  <c r="Q22" i="7"/>
  <c r="Q19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<sst xmlns="http://schemas.openxmlformats.org/spreadsheetml/2006/main" count="1380" uniqueCount="679">
  <si>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</si>
  <si>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</si>
  <si>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</si>
  <si>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</si>
  <si>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</si>
  <si>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</si>
  <si>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</si>
  <si>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</si>
  <si>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</si>
  <si>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</si>
  <si>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</si>
  <si>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</si>
  <si>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</si>
  <si>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</si>
  <si>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</si>
  <si>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</si>
  <si>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</si>
  <si>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</si>
  <si>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</si>
  <si>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</si>
  <si>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</si>
  <si>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</si>
  <si>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</si>
  <si>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</si>
  <si>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</si>
  <si>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</si>
  <si>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</si>
  <si>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</si>
  <si>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</si>
  <si>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</si>
  <si>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</si>
  <si>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</si>
  <si>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</si>
  <si>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</si>
  <si>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</si>
  <si>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</si>
  <si>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</si>
  <si>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</si>
  <si>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</si>
  <si>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</si>
  <si>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</si>
  <si>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</si>
  <si>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</si>
  <si>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</si>
  <si>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</si>
  <si>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</si>
  <si>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</si>
  <si>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</si>
  <si>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</si>
  <si>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</si>
  <si>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</si>
  <si>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</si>
  <si>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</si>
  <si>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</si>
  <si>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</si>
  <si>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</si>
  <si>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</si>
  <si>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</si>
  <si>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</si>
  <si>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</si>
  <si>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</si>
  <si>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</si>
  <si>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</si>
  <si>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</si>
  <si>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</si>
  <si>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</si>
  <si>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</si>
  <si>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</si>
  <si>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</si>
  <si>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</si>
  <si>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</si>
  <si>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</si>
  <si>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</si>
  <si>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</si>
  <si>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</si>
  <si>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</si>
  <si>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</si>
  <si>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</si>
  <si>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</si>
  <si>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</si>
  <si>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</si>
  <si>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</si>
  <si>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</si>
  <si>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</si>
  <si>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</si>
  <si>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</si>
  <si>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</si>
  <si>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</si>
  <si>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</si>
  <si>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</si>
  <si>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</si>
  <si>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</si>
  <si>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</si>
  <si>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</si>
  <si>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</si>
  <si>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</si>
  <si>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</si>
  <si>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</si>
  <si>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</si>
  <si>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</si>
  <si>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</si>
  <si>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</si>
  <si>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</si>
  <si>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</si>
  <si>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</si>
  <si>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</si>
  <si>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</si>
  <si>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</si>
  <si>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</si>
  <si>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</si>
  <si>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</si>
  <si>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</si>
  <si>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</si>
  <si>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</si>
  <si>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</si>
  <si>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</si>
  <si>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</si>
  <si>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</si>
  <si>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</si>
  <si>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</si>
  <si>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</si>
  <si>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</si>
  <si>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</si>
  <si>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</si>
  <si>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</si>
  <si>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</si>
  <si>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</si>
  <si>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</si>
  <si>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</si>
  <si>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</si>
  <si>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</si>
  <si>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</si>
  <si>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</si>
  <si>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</si>
  <si>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</si>
  <si>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</si>
  <si>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</si>
  <si>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</si>
  <si>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</si>
  <si>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</si>
  <si>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</si>
  <si>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</si>
  <si>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</si>
  <si>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</si>
  <si>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</si>
  <si>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</si>
  <si>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</si>
  <si>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</si>
  <si>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</si>
  <si>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</si>
  <si>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</si>
  <si>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</si>
  <si>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</si>
  <si>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</si>
  <si>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</si>
  <si>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</si>
  <si>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</si>
  <si>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</si>
  <si>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</si>
  <si>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</si>
  <si>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</si>
  <si>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</si>
  <si>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</si>
  <si>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</si>
  <si>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</si>
  <si>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</si>
  <si>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</si>
  <si>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</si>
  <si>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</si>
  <si>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</si>
  <si>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</si>
  <si>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</si>
  <si>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</si>
  <si>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</si>
  <si>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</si>
  <si>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</si>
  <si>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</si>
  <si>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</si>
  <si>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</si>
  <si>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</si>
  <si>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</si>
  <si>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</si>
  <si>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</si>
  <si>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</si>
  <si>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</si>
  <si>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</si>
  <si>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</si>
  <si>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</si>
  <si>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</si>
  <si>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</si>
  <si>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</si>
  <si>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</si>
  <si>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</si>
  <si>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</si>
  <si>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</si>
  <si>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</si>
  <si>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</si>
  <si>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</si>
  <si>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</si>
  <si>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</si>
  <si>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</si>
  <si>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</si>
  <si>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</si>
  <si>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</si>
  <si>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</si>
  <si>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</si>
  <si>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</si>
  <si>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</si>
  <si>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</si>
  <si>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</si>
  <si>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</si>
  <si>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</si>
  <si>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</si>
  <si>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</si>
  <si>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</si>
  <si>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</si>
  <si>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</si>
  <si>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</si>
  <si>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</si>
  <si>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</si>
  <si>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</si>
  <si>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</si>
  <si>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</si>
  <si>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</si>
  <si>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</si>
  <si>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</si>
  <si>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</si>
  <si>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</si>
  <si>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</si>
  <si>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</si>
  <si>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</si>
  <si>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</si>
  <si>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</si>
  <si>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</si>
  <si>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</si>
  <si>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</si>
  <si>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</si>
  <si>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</si>
  <si>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</si>
  <si>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</si>
  <si>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</si>
  <si>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</si>
  <si>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</si>
  <si>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</si>
  <si>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</si>
  <si>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</si>
  <si>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</si>
  <si>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</si>
  <si>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</si>
  <si>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</si>
  <si>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</si>
  <si>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</si>
  <si>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</si>
  <si>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</si>
  <si>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</si>
  <si>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</si>
  <si>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</si>
  <si>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</si>
  <si>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</si>
  <si>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</si>
  <si>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</si>
  <si>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</si>
  <si>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</si>
  <si>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</si>
  <si>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</si>
  <si>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</si>
  <si>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</si>
  <si>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</si>
  <si>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</si>
  <si>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</si>
  <si>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</si>
  <si>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</si>
  <si>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</si>
  <si>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</si>
  <si>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</si>
  <si>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</si>
  <si>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</si>
  <si>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</si>
  <si>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</si>
  <si>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</si>
  <si>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</si>
  <si>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</si>
  <si>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</si>
  <si>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</si>
  <si>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</si>
  <si>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</si>
  <si>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</si>
  <si>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</si>
  <si>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</si>
  <si>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</si>
  <si>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</si>
  <si>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</si>
  <si>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</si>
  <si>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</si>
  <si>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</si>
  <si>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</si>
  <si>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</si>
  <si>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</si>
  <si>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</si>
  <si>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</si>
  <si>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</si>
  <si>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</si>
  <si>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</si>
  <si>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</si>
  <si>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</si>
  <si>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</si>
  <si>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</si>
  <si>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</si>
  <si>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</si>
  <si>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</si>
  <si>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</si>
  <si>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</si>
  <si>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</si>
  <si>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</si>
  <si>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</si>
  <si>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</si>
  <si>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</si>
  <si>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</si>
  <si>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</si>
  <si>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</si>
  <si>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</si>
  <si>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</si>
  <si>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</si>
  <si>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</si>
  <si>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</si>
  <si>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</si>
  <si>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</si>
  <si>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</si>
  <si>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</si>
  <si>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</si>
  <si>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</si>
  <si>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</si>
  <si>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</si>
  <si>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</si>
  <si>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</si>
  <si>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</si>
  <si>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</si>
  <si>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</si>
  <si>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</si>
  <si>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</si>
  <si>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</si>
  <si>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</si>
  <si>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</si>
  <si>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</si>
  <si>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</si>
  <si>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</si>
  <si>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</si>
  <si>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</si>
  <si>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</si>
  <si>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</si>
  <si>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</si>
  <si>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</si>
  <si>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</si>
  <si>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</si>
  <si>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</si>
  <si>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</si>
  <si>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</si>
  <si>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</si>
  <si>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</si>
  <si>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</si>
  <si>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</si>
  <si>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</si>
  <si>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</si>
  <si>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</si>
  <si>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</si>
  <si>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</si>
  <si>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</si>
  <si>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</si>
  <si>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</si>
  <si>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</si>
  <si>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</si>
  <si>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</si>
  <si>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</si>
  <si>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</si>
  <si>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</si>
  <si>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</si>
  <si>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</si>
  <si>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</si>
  <si>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</si>
  <si>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</si>
  <si>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</si>
  <si>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</si>
  <si>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</si>
  <si>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</si>
  <si>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</si>
  <si>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</si>
  <si>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</si>
  <si>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</si>
  <si>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</si>
  <si>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</si>
  <si>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</si>
  <si>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</si>
  <si>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</si>
  <si>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</si>
  <si>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</si>
  <si>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</si>
  <si>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</si>
  <si>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</si>
  <si>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</si>
  <si>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</si>
  <si>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</si>
  <si>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</si>
  <si>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</si>
  <si>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</si>
  <si>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</si>
  <si>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</si>
  <si>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</si>
  <si>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</si>
  <si>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</si>
  <si>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</si>
  <si>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</si>
  <si>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</si>
  <si>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</si>
  <si>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</si>
  <si>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</si>
  <si>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</si>
  <si>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</si>
  <si>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</si>
  <si>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</si>
  <si>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</si>
  <si>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</si>
  <si>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</si>
  <si>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</si>
  <si>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</si>
  <si>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</si>
  <si>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</si>
  <si>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</si>
  <si>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</si>
  <si>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</si>
  <si>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</si>
  <si>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</si>
  <si>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</si>
  <si>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</si>
  <si>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</si>
  <si>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</si>
  <si>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</si>
  <si>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</si>
  <si>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</si>
  <si>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</si>
  <si>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</si>
  <si>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</si>
  <si>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</si>
  <si>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</si>
  <si>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</si>
  <si>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</si>
  <si>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</si>
  <si>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</si>
  <si>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</si>
  <si>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</si>
  <si>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</si>
  <si>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</si>
  <si>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</si>
  <si>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</si>
  <si>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</si>
  <si>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</si>
  <si>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</si>
  <si>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</si>
  <si>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</si>
  <si>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</si>
  <si>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</si>
  <si>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</si>
  <si>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</si>
  <si>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</si>
  <si>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</si>
  <si>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</si>
  <si>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</si>
  <si>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</si>
  <si>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</si>
  <si>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</si>
  <si>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</si>
  <si>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</si>
  <si>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</si>
  <si>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</si>
  <si>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</si>
  <si>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</si>
  <si>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</si>
  <si>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</si>
  <si>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</si>
  <si>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</si>
  <si>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</si>
  <si>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</si>
  <si>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</si>
  <si>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</si>
  <si>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</si>
  <si>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</si>
  <si>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</si>
  <si>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</si>
  <si>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</si>
  <si>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</si>
  <si>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</si>
  <si>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</si>
  <si>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</si>
  <si>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</si>
  <si>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</si>
  <si>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</si>
  <si>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</si>
  <si>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</si>
  <si>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</si>
  <si>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</si>
  <si>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</si>
  <si>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</si>
  <si>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</si>
  <si>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</si>
  <si>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</si>
  <si>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</si>
  <si>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</si>
  <si>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</si>
  <si>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</si>
  <si>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</si>
  <si>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</si>
  <si>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</si>
  <si>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</si>
  <si>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</si>
  <si>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</si>
  <si>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</si>
  <si>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</si>
  <si>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</si>
  <si>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</si>
  <si>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</si>
  <si>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</si>
  <si>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</si>
  <si>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</si>
  <si>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</si>
  <si>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</si>
  <si>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</si>
  <si>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</si>
  <si>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</si>
  <si>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</si>
  <si>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</si>
  <si>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</si>
  <si>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</si>
  <si>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</si>
  <si>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</si>
  <si>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</si>
  <si>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</si>
  <si>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</si>
  <si>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</si>
  <si>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</si>
  <si>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</si>
  <si>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</si>
  <si>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</si>
  <si>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</si>
  <si>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</si>
  <si>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</si>
  <si>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</si>
  <si>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</si>
  <si>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</si>
  <si>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</si>
  <si>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</si>
  <si>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</si>
  <si>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</si>
  <si>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</si>
  <si>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</si>
  <si>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</si>
  <si>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</si>
  <si>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</si>
  <si>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</si>
  <si>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</si>
  <si>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</si>
  <si>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</si>
  <si>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</si>
  <si>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</si>
  <si>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</si>
  <si>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</si>
  <si>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</si>
  <si>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</si>
  <si>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</si>
  <si>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</si>
  <si>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</si>
  <si>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</si>
  <si>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</si>
  <si>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</si>
  <si>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</si>
  <si>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</si>
  <si>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</si>
  <si>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</si>
  <si>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</si>
  <si>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</si>
  <si>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</si>
  <si>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</si>
  <si>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</si>
  <si>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</si>
  <si>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</si>
  <si>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</si>
  <si>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</si>
  <si>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</si>
  <si>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</si>
  <si>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</si>
  <si>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</si>
  <si>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</si>
  <si>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</si>
  <si>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</si>
  <si>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</si>
  <si>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</si>
  <si>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</si>
  <si>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</si>
  <si>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</si>
  <si>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</si>
  <si>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</si>
  <si>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</si>
  <si>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</si>
  <si>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</si>
  <si>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</si>
  <si>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</si>
  <si>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</si>
  <si>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</si>
  <si>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</si>
  <si>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</si>
  <si>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</si>
  <si>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</si>
  <si>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</si>
  <si>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</si>
  <si>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</si>
  <si>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</si>
  <si>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</si>
  <si>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</si>
  <si>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</si>
  <si>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</si>
  <si>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</si>
  <si>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</si>
  <si>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</si>
  <si>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</si>
  <si>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</si>
  <si>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</si>
  <si>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</si>
  <si>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</si>
  <si>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</si>
  <si>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</si>
  <si>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</si>
  <si>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</si>
  <si>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</si>
  <si>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</si>
  <si>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</si>
  <si>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</si>
  <si>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</si>
  <si>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</si>
  <si>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</si>
  <si>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</si>
  <si>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</si>
  <si>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</si>
  <si>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</si>
  <si>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</si>
  <si>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</si>
  <si>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</si>
  <si>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</si>
  <si>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</si>
  <si>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</si>
  <si>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</si>
  <si>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</si>
  <si>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</si>
  <si>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</si>
  <si>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</si>
  <si>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</si>
  <si>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</si>
  <si>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</si>
  <si>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</si>
  <si>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Eschwege GmbH</t>
  </si>
  <si>
    <t>Niederhoner Str. 36</t>
  </si>
  <si>
    <t>Eschwege</t>
  </si>
  <si>
    <t>Manfred Reuß</t>
  </si>
  <si>
    <t>m.reuss@stadtwerke-eschwege.de</t>
  </si>
  <si>
    <t>05651/807276</t>
  </si>
  <si>
    <t>GASPOOLNH7008481</t>
  </si>
  <si>
    <t>NCHN007008480000</t>
  </si>
  <si>
    <t>Bad Hersfeld</t>
  </si>
  <si>
    <t>MC Wetter</t>
  </si>
  <si>
    <t>DE_HMF04</t>
  </si>
  <si>
    <t>DE_GBA04</t>
  </si>
  <si>
    <t>DE_GGB04</t>
  </si>
  <si>
    <t>DE_GPD04</t>
  </si>
  <si>
    <t>DE_GHD04</t>
  </si>
  <si>
    <t>DE_GWA04</t>
  </si>
  <si>
    <t>DE_GBH04</t>
  </si>
  <si>
    <t>DE_GGA04</t>
  </si>
  <si>
    <t>DE_GBD04</t>
  </si>
  <si>
    <t>DE_GKO04</t>
  </si>
  <si>
    <t>DE_GHA04</t>
  </si>
  <si>
    <t>DE_GMK04</t>
  </si>
  <si>
    <t>9870084800002 .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</si>
</sst>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K16" sqref="K1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9" t="s">
        <v>655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506</v>
      </c>
      <c r="D4" s="27">
        <v>42206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42" t="s">
        <v>678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37269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6" t="s">
        <v>505</v>
      </c>
      <c r="D28" s="48" t="str">
        <f>IF(D27&lt;&gt;C28,VLOOKUP(D27,$C$29:$D$48,2,FALSE),C28)</f>
        <v>Stadtwerke Eschwege GmbH</v>
      </c>
      <c r="E28" s="38"/>
      <c r="F28" s="11"/>
      <c r="G28" s="2"/>
    </row>
    <row r="29" spans="1:15">
      <c r="B29" s="15"/>
      <c r="C29" s="22" t="s">
        <v>397</v>
      </c>
      <c r="D29" s="45" t="s">
        <v>656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Eschwege GmbH</v>
      </c>
      <c r="H5" s="68"/>
      <c r="I5" s="68"/>
      <c r="J5" s="68"/>
      <c r="K5" s="68"/>
    </row>
    <row r="6" spans="2:15" ht="15" customHeight="1">
      <c r="B6" s="22"/>
      <c r="C6" s="62" t="s">
        <v>447</v>
      </c>
      <c r="D6" s="58" t="str">
        <f>Netzbetreiber!D28</f>
        <v>Stadtwerke Eschwege GmbH</v>
      </c>
      <c r="E6" s="15"/>
      <c r="H6" s="68"/>
      <c r="I6" s="68"/>
      <c r="J6" s="68"/>
      <c r="K6" s="68"/>
    </row>
    <row r="7" spans="2:15" ht="15" customHeight="1">
      <c r="B7" s="22"/>
      <c r="C7" s="60" t="s">
        <v>491</v>
      </c>
      <c r="D7" s="61" t="str">
        <f>Netzbetreiber!$D$11</f>
        <v>9870084800002 .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261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620</v>
      </c>
      <c r="D13" s="33" t="s">
        <v>621</v>
      </c>
      <c r="E13" s="15"/>
      <c r="H13" s="277" t="s">
        <v>621</v>
      </c>
      <c r="I13" s="277" t="s">
        <v>622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433</v>
      </c>
      <c r="D15" s="42" t="s">
        <v>663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432</v>
      </c>
      <c r="D16" s="42" t="s">
        <v>662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580</v>
      </c>
      <c r="I19" s="276" t="s">
        <v>492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493</v>
      </c>
      <c r="I20" s="276" t="s">
        <v>494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618</v>
      </c>
      <c r="D22" s="49" t="s">
        <v>614</v>
      </c>
      <c r="E22" s="15"/>
      <c r="H22" s="273" t="s">
        <v>614</v>
      </c>
      <c r="I22" s="273" t="s">
        <v>615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616</v>
      </c>
      <c r="E23" s="15"/>
      <c r="H23" s="273" t="s">
        <v>617</v>
      </c>
      <c r="I23" s="8" t="s">
        <v>613</v>
      </c>
      <c r="J23" s="8"/>
      <c r="K23" s="8"/>
      <c r="L23" s="274"/>
    </row>
    <row r="24" spans="2:16" ht="15" customHeight="1">
      <c r="B24" s="22"/>
      <c r="C24" s="24" t="s">
        <v>619</v>
      </c>
      <c r="D24" s="24" t="str">
        <f>IF(D22=$H$22,L24,IF(D23=$H$24,M24,N24))</f>
        <v>=&gt;  Q(D) = KW  x  h(T, SLP-Typ)  x  F(WT)</v>
      </c>
      <c r="E24" s="15"/>
      <c r="H24" s="273" t="s">
        <v>616</v>
      </c>
      <c r="I24" s="273" t="s">
        <v>623</v>
      </c>
      <c r="J24" s="8"/>
      <c r="K24" s="8"/>
      <c r="L24" s="276" t="s">
        <v>624</v>
      </c>
      <c r="M24" s="276" t="s">
        <v>626</v>
      </c>
      <c r="N24" s="276" t="s">
        <v>625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583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627</v>
      </c>
      <c r="D27" s="42" t="s">
        <v>628</v>
      </c>
      <c r="E27" s="15"/>
      <c r="H27" s="309" t="s">
        <v>628</v>
      </c>
      <c r="I27" s="275" t="s">
        <v>629</v>
      </c>
      <c r="J27" s="275" t="s">
        <v>630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631</v>
      </c>
      <c r="I28" s="276" t="s">
        <v>632</v>
      </c>
      <c r="J28" s="276" t="s">
        <v>633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634</v>
      </c>
      <c r="I29" s="276" t="s">
        <v>635</v>
      </c>
      <c r="J29" s="276" t="s">
        <v>636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497</v>
      </c>
      <c r="C31" s="6" t="s">
        <v>582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637</v>
      </c>
      <c r="I32" s="276" t="s">
        <v>638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639</v>
      </c>
      <c r="I33" s="273" t="s">
        <v>634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554</v>
      </c>
      <c r="C35" s="24" t="s">
        <v>499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555</v>
      </c>
      <c r="C37" s="5" t="s">
        <v>367</v>
      </c>
      <c r="D37" s="34">
        <v>1500000</v>
      </c>
      <c r="E37" s="15" t="s">
        <v>512</v>
      </c>
      <c r="I37" s="273"/>
      <c r="J37" s="273"/>
      <c r="K37" s="273"/>
      <c r="L37" s="273"/>
      <c r="M37" s="274"/>
    </row>
    <row r="38" spans="2:39" customFormat="1" ht="15" customHeight="1">
      <c r="C38" s="8" t="s">
        <v>495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556</v>
      </c>
      <c r="C40" s="5" t="s">
        <v>368</v>
      </c>
      <c r="D40" s="36">
        <v>500</v>
      </c>
      <c r="E40" s="15" t="s">
        <v>546</v>
      </c>
      <c r="H40" s="68"/>
      <c r="I40" s="68"/>
      <c r="J40" s="68"/>
      <c r="K40" s="68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545</v>
      </c>
    </row>
    <row r="44" spans="2:39" ht="18" customHeight="1">
      <c r="C44" s="3" t="s">
        <v>547</v>
      </c>
    </row>
    <row r="45" spans="2:39" ht="18" customHeight="1">
      <c r="C45" s="3"/>
    </row>
    <row r="46" spans="2:39" ht="15" customHeight="1">
      <c r="B46" s="22" t="s">
        <v>557</v>
      </c>
      <c r="C46" s="60" t="s">
        <v>581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591</v>
      </c>
      <c r="D48" s="45" t="s">
        <v>664</v>
      </c>
    </row>
    <row r="49" spans="3:4" ht="18" customHeight="1">
      <c r="C49" s="22" t="s">
        <v>592</v>
      </c>
      <c r="D49" s="45"/>
    </row>
    <row r="50" spans="3:4" ht="18" customHeight="1">
      <c r="C50" s="22" t="s">
        <v>593</v>
      </c>
      <c r="D50" s="45"/>
    </row>
    <row r="51" spans="3:4" ht="18" customHeight="1">
      <c r="C51" s="22" t="s">
        <v>594</v>
      </c>
      <c r="D51" s="45"/>
    </row>
    <row r="52" spans="3:4" ht="18" customHeight="1">
      <c r="C52" s="22" t="s">
        <v>595</v>
      </c>
      <c r="D52" s="45"/>
    </row>
    <row r="53" spans="3:4" ht="18" customHeight="1">
      <c r="C53" s="22" t="s">
        <v>596</v>
      </c>
      <c r="D53" s="45"/>
    </row>
    <row r="54" spans="3:4" ht="18" customHeight="1">
      <c r="C54" s="22" t="s">
        <v>597</v>
      </c>
      <c r="D54" s="45"/>
    </row>
    <row r="55" spans="3:4" ht="18" customHeight="1">
      <c r="C55" s="22" t="s">
        <v>598</v>
      </c>
      <c r="D55" s="45"/>
    </row>
    <row r="56" spans="3:4" ht="18" customHeight="1">
      <c r="C56" s="22" t="s">
        <v>599</v>
      </c>
      <c r="D56" s="45"/>
    </row>
    <row r="57" spans="3:4" ht="18" customHeight="1">
      <c r="C57" s="22" t="s">
        <v>600</v>
      </c>
      <c r="D57" s="45"/>
    </row>
    <row r="58" spans="3:4" ht="18" customHeight="1">
      <c r="C58" s="22" t="s">
        <v>601</v>
      </c>
      <c r="D58" s="45"/>
    </row>
    <row r="59" spans="3:4" ht="18" customHeight="1">
      <c r="C59" s="22" t="s">
        <v>602</v>
      </c>
      <c r="D59" s="45"/>
    </row>
    <row r="60" spans="3:4" ht="18" customHeight="1">
      <c r="C60" s="22" t="s">
        <v>603</v>
      </c>
      <c r="D60" s="45"/>
    </row>
    <row r="61" spans="3:4" ht="18" customHeight="1">
      <c r="C61" s="22" t="s">
        <v>604</v>
      </c>
      <c r="D61" s="45"/>
    </row>
    <row r="62" spans="3:4" ht="18" customHeight="1">
      <c r="C62" s="22" t="s">
        <v>605</v>
      </c>
      <c r="D62" s="45"/>
    </row>
  </sheetData>
  <sheetProtection sheet="1" objects="1" scenarios="1"/>
  <conditionalFormatting sqref="D15">
    <cfRule type="expression" dxfId="57" priority="20">
      <formula>IF($D$11="Gaspool",1,0)</formula>
    </cfRule>
  </conditionalFormatting>
  <conditionalFormatting sqref="D16">
    <cfRule type="expression" dxfId="56" priority="17">
      <formula>IF($D$11="NCG",1,0)</formula>
    </cfRule>
  </conditionalFormatting>
  <conditionalFormatting sqref="D48:D62">
    <cfRule type="expression" dxfId="55" priority="16">
      <formula>IF(CELL("Zeile",D48)&lt;$D$46+CELL("Zeile",$D$48),1,0)</formula>
    </cfRule>
  </conditionalFormatting>
  <conditionalFormatting sqref="D49:D62">
    <cfRule type="expression" dxfId="54" priority="15">
      <formula>IF(CELL(D49)&lt;$D$36+27,1,0)</formula>
    </cfRule>
  </conditionalFormatting>
  <conditionalFormatting sqref="D23">
    <cfRule type="expression" dxfId="53" priority="14">
      <formula>IF($D$22=$H$22,1,0)</formula>
    </cfRule>
  </conditionalFormatting>
  <conditionalFormatting sqref="D31">
    <cfRule type="expression" dxfId="52" priority="3">
      <formula>IF($D$18="synthetisch",1,0)</formula>
    </cfRule>
  </conditionalFormatting>
  <conditionalFormatting sqref="D28">
    <cfRule type="expression" dxfId="51" priority="1">
      <formula>IF(AND($D$27=$I$27,$D$26=$H$26),1,0)</formula>
    </cfRule>
  </conditionalFormatting>
  <conditionalFormatting sqref="D26:D28">
    <cfRule type="expression" dxfId="50" priority="4">
      <formula>IF($D$18="analytisch",1,0)</formula>
    </cfRule>
  </conditionalFormatting>
  <conditionalFormatting sqref="D27">
    <cfRule type="expression" dxfId="49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E5" sqref="E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549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Stadtwerke Eschwege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527</v>
      </c>
      <c r="D9" s="131"/>
      <c r="E9" s="131"/>
      <c r="F9" s="155">
        <f>'SLP-Verfahren'!D46</f>
        <v>1</v>
      </c>
      <c r="H9" s="173" t="s">
        <v>606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590</v>
      </c>
      <c r="D10" s="131"/>
      <c r="E10" s="131"/>
      <c r="F10" s="300">
        <v>1</v>
      </c>
      <c r="G10" s="57"/>
      <c r="H10" s="173" t="s">
        <v>607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608</v>
      </c>
      <c r="D11" s="131"/>
      <c r="E11" s="131"/>
      <c r="F11" s="297" t="str">
        <f>INDEX('SLP-Verfahren'!D48:D62,'SLP-Temp-Gebiet #01'!F10)</f>
        <v>Bad Hersfeld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0" t="s">
        <v>589</v>
      </c>
      <c r="D13" s="340"/>
      <c r="E13" s="340"/>
      <c r="F13" s="184" t="s">
        <v>553</v>
      </c>
      <c r="G13" s="131" t="s">
        <v>551</v>
      </c>
      <c r="H13" s="266" t="s">
        <v>568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1" t="s">
        <v>451</v>
      </c>
      <c r="D14" s="341"/>
      <c r="E14" s="90" t="s">
        <v>452</v>
      </c>
      <c r="F14" s="267" t="s">
        <v>85</v>
      </c>
      <c r="G14" s="268" t="s">
        <v>577</v>
      </c>
      <c r="H14" s="51">
        <v>0</v>
      </c>
      <c r="I14" s="57"/>
      <c r="J14" s="131"/>
      <c r="K14" s="131"/>
      <c r="L14" s="131"/>
      <c r="M14" s="131"/>
      <c r="N14" s="131"/>
      <c r="O14" s="174" t="s">
        <v>532</v>
      </c>
      <c r="R14" s="210" t="s">
        <v>569</v>
      </c>
      <c r="S14" s="210" t="s">
        <v>570</v>
      </c>
      <c r="T14" s="210" t="s">
        <v>571</v>
      </c>
      <c r="U14" s="210" t="s">
        <v>572</v>
      </c>
      <c r="V14" s="210" t="s">
        <v>552</v>
      </c>
      <c r="W14" s="210" t="s">
        <v>573</v>
      </c>
      <c r="X14" s="210" t="s">
        <v>574</v>
      </c>
      <c r="Y14" s="210" t="s">
        <v>575</v>
      </c>
      <c r="Z14" s="210" t="s">
        <v>576</v>
      </c>
      <c r="AA14" s="210" t="s">
        <v>577</v>
      </c>
      <c r="AB14" s="210" t="s">
        <v>578</v>
      </c>
      <c r="AC14" s="210" t="s">
        <v>579</v>
      </c>
    </row>
    <row r="15" spans="1:56" ht="19.5" customHeight="1">
      <c r="B15" s="131"/>
      <c r="C15" s="341" t="s">
        <v>389</v>
      </c>
      <c r="D15" s="341"/>
      <c r="E15" s="90" t="s">
        <v>452</v>
      </c>
      <c r="F15" s="267" t="s">
        <v>71</v>
      </c>
      <c r="G15" s="268" t="s">
        <v>571</v>
      </c>
      <c r="H15" s="51">
        <v>0</v>
      </c>
      <c r="I15" s="57"/>
      <c r="J15" s="131"/>
      <c r="K15" s="131"/>
      <c r="L15" s="131"/>
      <c r="M15" s="131"/>
      <c r="N15" s="131"/>
      <c r="O15" s="162" t="s">
        <v>665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497</v>
      </c>
      <c r="AI15" s="265" t="s">
        <v>554</v>
      </c>
      <c r="AJ15" s="265" t="s">
        <v>555</v>
      </c>
      <c r="AK15" s="265" t="s">
        <v>556</v>
      </c>
      <c r="AL15" s="265" t="s">
        <v>557</v>
      </c>
      <c r="AM15" s="265" t="s">
        <v>558</v>
      </c>
      <c r="AN15" s="265" t="s">
        <v>559</v>
      </c>
      <c r="AO15" s="265" t="s">
        <v>560</v>
      </c>
      <c r="AP15" s="265" t="s">
        <v>561</v>
      </c>
      <c r="AQ15" s="265" t="s">
        <v>562</v>
      </c>
      <c r="AR15" s="265" t="s">
        <v>563</v>
      </c>
      <c r="AS15" s="265" t="s">
        <v>564</v>
      </c>
      <c r="AT15" s="265" t="s">
        <v>565</v>
      </c>
      <c r="AU15" s="265" t="s">
        <v>566</v>
      </c>
      <c r="AV15" s="265" t="s">
        <v>567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522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528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523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530</v>
      </c>
      <c r="D21" s="154" t="s">
        <v>521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542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665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508</v>
      </c>
      <c r="T23" s="298" t="str">
        <f>O15</f>
        <v>MC Wetter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525</v>
      </c>
      <c r="D24" s="189"/>
      <c r="E24" s="157" t="s">
        <v>664</v>
      </c>
      <c r="F24" s="157" t="s">
        <v>587</v>
      </c>
      <c r="G24" s="157"/>
      <c r="H24" s="157"/>
      <c r="I24" s="157"/>
      <c r="J24" s="157"/>
      <c r="K24" s="157"/>
      <c r="L24" s="157"/>
      <c r="M24" s="157"/>
      <c r="N24" s="157"/>
      <c r="O24" s="186" t="s">
        <v>526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>
        <v>10542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524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531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538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610</v>
      </c>
      <c r="D35" s="154" t="s">
        <v>611</v>
      </c>
      <c r="E35" s="157" t="s">
        <v>609</v>
      </c>
      <c r="F35" s="157" t="s">
        <v>609</v>
      </c>
      <c r="G35" s="157" t="s">
        <v>609</v>
      </c>
      <c r="H35" s="157" t="s">
        <v>609</v>
      </c>
      <c r="I35" s="157" t="s">
        <v>609</v>
      </c>
      <c r="J35" s="157" t="s">
        <v>609</v>
      </c>
      <c r="K35" s="157" t="s">
        <v>609</v>
      </c>
      <c r="L35" s="157" t="s">
        <v>609</v>
      </c>
      <c r="M35" s="157" t="s">
        <v>609</v>
      </c>
      <c r="N35" s="157" t="s">
        <v>609</v>
      </c>
      <c r="O35" s="186" t="s">
        <v>142</v>
      </c>
      <c r="Q35" s="212"/>
      <c r="R35" s="68" t="s">
        <v>609</v>
      </c>
      <c r="S35" s="68" t="s">
        <v>612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543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536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537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529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535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540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541</v>
      </c>
      <c r="D46" s="202" t="s">
        <v>539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539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584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548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523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530</v>
      </c>
      <c r="D55" s="154" t="s">
        <v>521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542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MC Wetter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525</v>
      </c>
      <c r="D58" s="189"/>
      <c r="E58" s="157" t="str">
        <f>E24</f>
        <v>Bad Hersfeld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526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>
        <f>E25</f>
        <v>10542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524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531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538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610</v>
      </c>
      <c r="D69" s="154" t="s">
        <v>611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446</v>
      </c>
      <c r="D70" s="120" t="s">
        <v>543</v>
      </c>
      <c r="E70" s="164" t="s">
        <v>455</v>
      </c>
      <c r="F70" s="164" t="s">
        <v>455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2" t="s">
        <v>585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549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Stadtwerke Eschwege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527</v>
      </c>
      <c r="D9" s="131"/>
      <c r="E9" s="131"/>
      <c r="F9" s="155">
        <f>'SLP-Verfahren'!D46</f>
        <v>1</v>
      </c>
      <c r="H9" s="173" t="s">
        <v>606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590</v>
      </c>
      <c r="D10" s="131"/>
      <c r="E10" s="131"/>
      <c r="F10" s="300">
        <v>2</v>
      </c>
      <c r="G10" s="57"/>
      <c r="H10" s="173" t="s">
        <v>607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608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0" t="s">
        <v>589</v>
      </c>
      <c r="D13" s="340"/>
      <c r="E13" s="340"/>
      <c r="F13" s="184" t="s">
        <v>553</v>
      </c>
      <c r="G13" s="131" t="s">
        <v>551</v>
      </c>
      <c r="H13" s="266" t="s">
        <v>568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1" t="s">
        <v>451</v>
      </c>
      <c r="D14" s="341"/>
      <c r="E14" s="90" t="s">
        <v>452</v>
      </c>
      <c r="F14" s="267" t="s">
        <v>85</v>
      </c>
      <c r="G14" s="268" t="s">
        <v>577</v>
      </c>
      <c r="H14" s="51">
        <v>0</v>
      </c>
      <c r="I14" s="57"/>
      <c r="J14" s="131"/>
      <c r="K14" s="131"/>
      <c r="L14" s="131"/>
      <c r="M14" s="131"/>
      <c r="N14" s="131"/>
      <c r="O14" s="174" t="s">
        <v>532</v>
      </c>
      <c r="R14" s="210" t="s">
        <v>569</v>
      </c>
      <c r="S14" s="210" t="s">
        <v>570</v>
      </c>
      <c r="T14" s="210" t="s">
        <v>571</v>
      </c>
      <c r="U14" s="210" t="s">
        <v>572</v>
      </c>
      <c r="V14" s="210" t="s">
        <v>552</v>
      </c>
      <c r="W14" s="210" t="s">
        <v>573</v>
      </c>
      <c r="X14" s="210" t="s">
        <v>574</v>
      </c>
      <c r="Y14" s="210" t="s">
        <v>575</v>
      </c>
      <c r="Z14" s="210" t="s">
        <v>576</v>
      </c>
      <c r="AA14" s="210" t="s">
        <v>577</v>
      </c>
      <c r="AB14" s="210" t="s">
        <v>578</v>
      </c>
      <c r="AC14" s="210" t="s">
        <v>579</v>
      </c>
    </row>
    <row r="15" spans="1:56" ht="19.5" customHeight="1">
      <c r="B15" s="131"/>
      <c r="C15" s="341" t="s">
        <v>389</v>
      </c>
      <c r="D15" s="341"/>
      <c r="E15" s="90" t="s">
        <v>452</v>
      </c>
      <c r="F15" s="267" t="s">
        <v>71</v>
      </c>
      <c r="G15" s="268" t="s">
        <v>571</v>
      </c>
      <c r="H15" s="51">
        <v>0</v>
      </c>
      <c r="I15" s="57"/>
      <c r="J15" s="131"/>
      <c r="K15" s="131"/>
      <c r="L15" s="131"/>
      <c r="M15" s="131"/>
      <c r="N15" s="131"/>
      <c r="O15" s="162" t="s">
        <v>533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497</v>
      </c>
      <c r="AI15" s="265" t="s">
        <v>554</v>
      </c>
      <c r="AJ15" s="265" t="s">
        <v>555</v>
      </c>
      <c r="AK15" s="265" t="s">
        <v>556</v>
      </c>
      <c r="AL15" s="265" t="s">
        <v>557</v>
      </c>
      <c r="AM15" s="265" t="s">
        <v>558</v>
      </c>
      <c r="AN15" s="265" t="s">
        <v>559</v>
      </c>
      <c r="AO15" s="265" t="s">
        <v>560</v>
      </c>
      <c r="AP15" s="265" t="s">
        <v>561</v>
      </c>
      <c r="AQ15" s="265" t="s">
        <v>562</v>
      </c>
      <c r="AR15" s="265" t="s">
        <v>563</v>
      </c>
      <c r="AS15" s="265" t="s">
        <v>564</v>
      </c>
      <c r="AT15" s="265" t="s">
        <v>565</v>
      </c>
      <c r="AU15" s="265" t="s">
        <v>566</v>
      </c>
      <c r="AV15" s="265" t="s">
        <v>567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522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528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523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530</v>
      </c>
      <c r="D21" s="154" t="s">
        <v>521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542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525</v>
      </c>
      <c r="D24" s="189"/>
      <c r="E24" s="157" t="s">
        <v>586</v>
      </c>
      <c r="F24" s="157" t="s">
        <v>587</v>
      </c>
      <c r="G24" s="157"/>
      <c r="H24" s="157"/>
      <c r="I24" s="157"/>
      <c r="J24" s="157"/>
      <c r="K24" s="157"/>
      <c r="L24" s="157"/>
      <c r="M24" s="157"/>
      <c r="N24" s="157"/>
      <c r="O24" s="186" t="s">
        <v>526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524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531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538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610</v>
      </c>
      <c r="D35" s="154" t="s">
        <v>611</v>
      </c>
      <c r="E35" s="157" t="s">
        <v>609</v>
      </c>
      <c r="F35" s="157" t="s">
        <v>609</v>
      </c>
      <c r="G35" s="157" t="s">
        <v>609</v>
      </c>
      <c r="H35" s="157" t="s">
        <v>609</v>
      </c>
      <c r="I35" s="157" t="s">
        <v>609</v>
      </c>
      <c r="J35" s="157" t="s">
        <v>609</v>
      </c>
      <c r="K35" s="157" t="s">
        <v>609</v>
      </c>
      <c r="L35" s="157" t="s">
        <v>609</v>
      </c>
      <c r="M35" s="157" t="s">
        <v>609</v>
      </c>
      <c r="N35" s="157" t="s">
        <v>609</v>
      </c>
      <c r="O35" s="186" t="s">
        <v>142</v>
      </c>
      <c r="Q35" s="212"/>
      <c r="R35" s="68" t="s">
        <v>609</v>
      </c>
      <c r="S35" s="68" t="s">
        <v>612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543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536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537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529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535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540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541</v>
      </c>
      <c r="D46" s="202" t="s">
        <v>539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539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584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548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523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530</v>
      </c>
      <c r="D55" s="154" t="s">
        <v>521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542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525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526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524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531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538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610</v>
      </c>
      <c r="D69" s="154" t="s">
        <v>611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446</v>
      </c>
      <c r="D70" s="120" t="s">
        <v>543</v>
      </c>
      <c r="E70" s="164" t="s">
        <v>456</v>
      </c>
      <c r="F70" s="164" t="s">
        <v>456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42" t="s">
        <v>585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Q1" sqref="Q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469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Eschwege GmbH</v>
      </c>
      <c r="E5" s="131"/>
      <c r="H5" s="89" t="s">
        <v>501</v>
      </c>
      <c r="I5" s="132" t="s">
        <v>504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Eschwege GmbH</v>
      </c>
      <c r="E6" s="131"/>
      <c r="F6" s="131"/>
      <c r="I6" s="132" t="s">
        <v>514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491</v>
      </c>
      <c r="D7" s="54" t="str">
        <f>Netzbetreiber!$D$11</f>
        <v>9870084800002 .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499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498</v>
      </c>
      <c r="D10" s="135" t="s">
        <v>147</v>
      </c>
      <c r="E10" s="278" t="s">
        <v>516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640</v>
      </c>
      <c r="M10" s="151" t="s">
        <v>649</v>
      </c>
      <c r="N10" s="152" t="s">
        <v>650</v>
      </c>
      <c r="O10" s="152" t="s">
        <v>651</v>
      </c>
      <c r="P10" s="153" t="s">
        <v>652</v>
      </c>
      <c r="Q10" s="147" t="s">
        <v>641</v>
      </c>
      <c r="R10" s="137" t="s">
        <v>642</v>
      </c>
      <c r="S10" s="138" t="s">
        <v>643</v>
      </c>
      <c r="T10" s="138" t="s">
        <v>644</v>
      </c>
      <c r="U10" s="138" t="s">
        <v>645</v>
      </c>
      <c r="V10" s="138" t="s">
        <v>646</v>
      </c>
      <c r="W10" s="138" t="s">
        <v>647</v>
      </c>
      <c r="X10" s="139" t="s">
        <v>648</v>
      </c>
      <c r="Y10" s="306" t="s">
        <v>653</v>
      </c>
    </row>
    <row r="11" spans="2:26" ht="15.75" thickBot="1">
      <c r="B11" s="140" t="s">
        <v>500</v>
      </c>
      <c r="C11" s="141" t="s">
        <v>515</v>
      </c>
      <c r="D11" s="305" t="s">
        <v>248</v>
      </c>
      <c r="E11" s="165" t="s">
        <v>666</v>
      </c>
      <c r="F11" s="307" t="str">
        <f>VLOOKUP($E11,'BDEW-Standard'!$B$3:$M$158,F$9,0)</f>
        <v>D24</v>
      </c>
      <c r="H11" s="168">
        <f>ROUND(VLOOKUP($E11,'BDEW-Standard'!$B$3:$M$158,H$9,0),7)</f>
        <v>2.5187775000000001</v>
      </c>
      <c r="I11" s="168">
        <f>ROUND(VLOOKUP($E11,'BDEW-Standard'!$B$3:$M$158,I$9,0),7)</f>
        <v>-35.033375399999997</v>
      </c>
      <c r="J11" s="168">
        <f>ROUND(VLOOKUP($E11,'BDEW-Standard'!$B$3:$M$158,J$9,0),7)</f>
        <v>6.2240634000000004</v>
      </c>
      <c r="K11" s="168">
        <f>ROUND(VLOOKUP($E11,'BDEW-Standard'!$B$3:$M$158,K$9,0),7)</f>
        <v>0.10107820000000001</v>
      </c>
      <c r="L11" s="215">
        <f>ROUND(VLOOKUP($E11,'BDEW-Standard'!$B$3:$M$158,L$9,0),1)</f>
        <v>40</v>
      </c>
      <c r="M11" s="168">
        <f>ROUND(VLOOKUP($E11,'BDEW-Standard'!$B$3:$M$158,M$9,0),7)</f>
        <v>0</v>
      </c>
      <c r="N11" s="168">
        <f>ROUND(VLOOKUP($E11,'BDEW-Standard'!$B$3:$M$158,N$9,0),7)</f>
        <v>0</v>
      </c>
      <c r="O11" s="168">
        <f>ROUND(VLOOKUP($E11,'BDEW-Standard'!$B$3:$M$158,O$9,0),7)</f>
        <v>0</v>
      </c>
      <c r="P11" s="168">
        <f>ROUND(VLOOKUP($E11,'BDEW-Standard'!$B$3:$M$158,P$9,0),7)</f>
        <v>0</v>
      </c>
      <c r="Q11" s="214">
        <f>($H11/(1+($I11/($Q$9-$L11))^$J11)+$K11)+MAX($M11*$Q$9+$N11,$O11*$Q$9+$P11)</f>
        <v>1.0146273685996503</v>
      </c>
      <c r="R11" s="169">
        <f>ROUND(VLOOKUP(MID($E11,4,3),'Wochentag F(WT)'!$B$7:$J$22,R$9,0),4)</f>
        <v>1</v>
      </c>
      <c r="S11" s="169">
        <f>ROUND(VLOOKUP(MID($E11,4,3),'Wochentag F(WT)'!$B$7:$J$22,S$9,0),4)</f>
        <v>1</v>
      </c>
      <c r="T11" s="169">
        <f>ROUND(VLOOKUP(MID($E11,4,3),'Wochentag F(WT)'!$B$7:$J$22,T$9,0),4)</f>
        <v>1</v>
      </c>
      <c r="U11" s="169">
        <f>ROUND(VLOOKUP(MID($E11,4,3),'Wochentag F(WT)'!$B$7:$J$22,U$9,0),4)</f>
        <v>1</v>
      </c>
      <c r="V11" s="169">
        <f>ROUND(VLOOKUP(MID($E11,4,3),'Wochentag F(WT)'!$B$7:$J$22,V$9,0),4)</f>
        <v>1</v>
      </c>
      <c r="W11" s="169">
        <f>ROUND(VLOOKUP(MID($E11,4,3),'Wochentag F(WT)'!$B$7:$J$22,W$9,0),4)</f>
        <v>1</v>
      </c>
      <c r="X11" s="170">
        <f>7-SUM(R11:W11)</f>
        <v>1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Eschwege GmbH</v>
      </c>
      <c r="D12" s="63" t="s">
        <v>248</v>
      </c>
      <c r="E12" s="166" t="s">
        <v>23</v>
      </c>
      <c r="F12" s="166" t="s">
        <v>291</v>
      </c>
      <c r="H12" s="279">
        <f>ROUND(VLOOKUP($E12,'BDEW-Standard'!$B$3:$M$158,H$9,0),7)</f>
        <v>3.1935978</v>
      </c>
      <c r="I12" s="279">
        <f>ROUND(VLOOKUP($E12,'BDEW-Standard'!$B$3:$M$158,I$9,0),7)</f>
        <v>-37.414247799999998</v>
      </c>
      <c r="J12" s="279">
        <f>ROUND(VLOOKUP($E12,'BDEW-Standard'!$B$3:$M$158,J$9,0),7)</f>
        <v>6.1824021</v>
      </c>
      <c r="K12" s="279">
        <f>ROUND(VLOOKUP($E12,'BDEW-Standard'!$B$3:$M$158,K$9,0),7)</f>
        <v>7.4862499999999998E-2</v>
      </c>
      <c r="L12" s="280">
        <f>ROUND(VLOOKUP($E12,'BDEW-Standard'!$B$3:$M$158,L$9,0),1)</f>
        <v>40</v>
      </c>
      <c r="M12" s="279">
        <f>ROUND(VLOOKUP($E12,'BDEW-Standard'!$B$3:$M$158,M$9,0),7)</f>
        <v>0</v>
      </c>
      <c r="N12" s="279">
        <f>ROUND(VLOOKUP($E12,'BDEW-Standard'!$B$3:$M$158,N$9,0),7)</f>
        <v>0</v>
      </c>
      <c r="O12" s="279">
        <f>ROUND(VLOOKUP($E12,'BDEW-Standard'!$B$3:$M$158,O$9,0),7)</f>
        <v>0</v>
      </c>
      <c r="P12" s="279">
        <f>ROUND(VLOOKUP($E12,'BDEW-Standard'!$B$3:$M$158,P$9,0),7)</f>
        <v>0</v>
      </c>
      <c r="Q12" s="281">
        <f>($H12/(1+($I12/($Q$9-$L12))^$J12)+$K12)+MAX($M12*$Q$9+$N12,$O12*$Q$9+$P12)</f>
        <v>0.9550096118679563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Eschwege GmbH</v>
      </c>
      <c r="D13" s="63" t="s">
        <v>248</v>
      </c>
      <c r="E13" s="166" t="s">
        <v>31</v>
      </c>
      <c r="F13" s="166" t="s">
        <v>299</v>
      </c>
      <c r="H13" s="279">
        <f>ROUND(VLOOKUP($E13,'BDEW-Standard'!$B$3:$M$158,H$9,0),7)</f>
        <v>2.529738</v>
      </c>
      <c r="I13" s="279">
        <f>ROUND(VLOOKUP($E13,'BDEW-Standard'!$B$3:$M$158,I$9,0),7)</f>
        <v>-35.0300145</v>
      </c>
      <c r="J13" s="279">
        <f>ROUND(VLOOKUP($E13,'BDEW-Standard'!$B$3:$M$158,J$9,0),7)</f>
        <v>6.2051109000000002</v>
      </c>
      <c r="K13" s="279">
        <f>ROUND(VLOOKUP($E13,'BDEW-Standard'!$B$3:$M$158,K$9,0),7)</f>
        <v>9.7709000000000004E-2</v>
      </c>
      <c r="L13" s="280">
        <f>ROUND(VLOOKUP($E13,'BDEW-Standard'!$B$3:$M$158,L$9,0),1)</f>
        <v>40</v>
      </c>
      <c r="M13" s="279">
        <f>ROUND(VLOOKUP($E13,'BDEW-Standard'!$B$3:$M$158,M$9,0),7)</f>
        <v>0</v>
      </c>
      <c r="N13" s="279">
        <f>ROUND(VLOOKUP($E13,'BDEW-Standard'!$B$3:$M$158,N$9,0),7)</f>
        <v>0</v>
      </c>
      <c r="O13" s="279">
        <f>ROUND(VLOOKUP($E13,'BDEW-Standard'!$B$3:$M$158,O$9,0),7)</f>
        <v>0</v>
      </c>
      <c r="P13" s="279">
        <f>ROUND(VLOOKUP($E13,'BDEW-Standard'!$B$3:$M$158,P$9,0),7)</f>
        <v>0</v>
      </c>
      <c r="Q13" s="281">
        <f>($H13/(1+($I13/($Q$9-$L13))^$J13)+$K13)+MAX($M13*$Q$9+$N13,$O13*$Q$9+$P13)</f>
        <v>1.0165856991768873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Eschwege GmbH</v>
      </c>
      <c r="D14" s="63" t="s">
        <v>248</v>
      </c>
      <c r="E14" s="166" t="s">
        <v>667</v>
      </c>
      <c r="F14" s="166" t="str">
        <f>VLOOKUP($E14,'BDEW-Standard'!$B$3:$M$158,F$9,0)</f>
        <v>BA4</v>
      </c>
      <c r="H14" s="279">
        <f>ROUND(VLOOKUP($E14,'BDEW-Standard'!$B$3:$M$158,H$9,0),7)</f>
        <v>0.93158890000000005</v>
      </c>
      <c r="I14" s="279">
        <f>ROUND(VLOOKUP($E14,'BDEW-Standard'!$B$3:$M$158,I$9,0),7)</f>
        <v>-33.35</v>
      </c>
      <c r="J14" s="279">
        <f>ROUND(VLOOKUP($E14,'BDEW-Standard'!$B$3:$M$158,J$9,0),7)</f>
        <v>5.7212303000000002</v>
      </c>
      <c r="K14" s="279">
        <f>ROUND(VLOOKUP($E14,'BDEW-Standard'!$B$3:$M$158,K$9,0),7)</f>
        <v>0.66564939999999995</v>
      </c>
      <c r="L14" s="280">
        <f>ROUND(VLOOKUP($E14,'BDEW-Standard'!$B$3:$M$158,L$9,0),1)</f>
        <v>40</v>
      </c>
      <c r="M14" s="279">
        <f>ROUND(VLOOKUP($E14,'BDEW-Standard'!$B$3:$M$158,M$9,0),7)</f>
        <v>0</v>
      </c>
      <c r="N14" s="279">
        <f>ROUND(VLOOKUP($E14,'BDEW-Standard'!$B$3:$M$158,N$9,0),7)</f>
        <v>0</v>
      </c>
      <c r="O14" s="279">
        <f>ROUND(VLOOKUP($E14,'BDEW-Standard'!$B$3:$M$158,O$9,0),7)</f>
        <v>0</v>
      </c>
      <c r="P14" s="279">
        <f>ROUND(VLOOKUP($E14,'BDEW-Standard'!$B$3:$M$158,P$9,0),7)</f>
        <v>0</v>
      </c>
      <c r="Q14" s="281">
        <f>($H14/(1+($I14/($Q$9-$L14))^$J14)+$K14)+MAX($M14*$Q$9+$N14,$O14*$Q$9+$P14)</f>
        <v>1.0766391850538448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>7-SUM(R14:W14)</f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Stadtwerke Eschwege GmbH</v>
      </c>
      <c r="D15" s="63" t="s">
        <v>248</v>
      </c>
      <c r="E15" s="166" t="s">
        <v>668</v>
      </c>
      <c r="F15" s="166" t="str">
        <f>VLOOKUP($E15,'BDEW-Standard'!$B$3:$M$158,F$9,0)</f>
        <v>GB4</v>
      </c>
      <c r="H15" s="279">
        <f>ROUND(VLOOKUP($E15,'BDEW-Standard'!$B$3:$M$158,H$9,0),7)</f>
        <v>3.6017736</v>
      </c>
      <c r="I15" s="279">
        <f>ROUND(VLOOKUP($E15,'BDEW-Standard'!$B$3:$M$158,I$9,0),7)</f>
        <v>-37.882536799999997</v>
      </c>
      <c r="J15" s="279">
        <f>ROUND(VLOOKUP($E15,'BDEW-Standard'!$B$3:$M$158,J$9,0),7)</f>
        <v>6.9836070000000001</v>
      </c>
      <c r="K15" s="279">
        <f>ROUND(VLOOKUP($E15,'BDEW-Standard'!$B$3:$M$158,K$9,0),7)</f>
        <v>5.4826199999999999E-2</v>
      </c>
      <c r="L15" s="280">
        <f>ROUND(VLOOKUP($E15,'BDEW-Standard'!$B$3:$M$158,L$9,0),1)</f>
        <v>40</v>
      </c>
      <c r="M15" s="279">
        <f>ROUND(VLOOKUP($E15,'BDEW-Standard'!$B$3:$M$158,M$9,0),7)</f>
        <v>0</v>
      </c>
      <c r="N15" s="279">
        <f>ROUND(VLOOKUP($E15,'BDEW-Standard'!$B$3:$M$158,N$9,0),7)</f>
        <v>0</v>
      </c>
      <c r="O15" s="279">
        <f>ROUND(VLOOKUP($E15,'BDEW-Standard'!$B$3:$M$158,O$9,0),7)</f>
        <v>0</v>
      </c>
      <c r="P15" s="279">
        <f>ROUND(VLOOKUP($E15,'BDEW-Standard'!$B$3:$M$158,P$9,0),7)</f>
        <v>0</v>
      </c>
      <c r="Q15" s="281">
        <f>($H15/(1+($I15/($Q$9-$L15))^$J15)+$K15)+MAX($M15*$Q$9+$N15,$O15*$Q$9+$P15)</f>
        <v>0.90239375975311864</v>
      </c>
      <c r="R15" s="282">
        <f>ROUND(VLOOKUP(MID($E15,4,3),'Wochentag F(WT)'!$B$7:$J$22,R$9,0),4)</f>
        <v>0.98970000000000002</v>
      </c>
      <c r="S15" s="282">
        <f>ROUND(VLOOKUP(MID($E15,4,3),'Wochentag F(WT)'!$B$7:$J$22,S$9,0),4)</f>
        <v>0.9627</v>
      </c>
      <c r="T15" s="282">
        <f>ROUND(VLOOKUP(MID($E15,4,3),'Wochentag F(WT)'!$B$7:$J$22,T$9,0),4)</f>
        <v>1.0507</v>
      </c>
      <c r="U15" s="282">
        <f>ROUND(VLOOKUP(MID($E15,4,3),'Wochentag F(WT)'!$B$7:$J$22,U$9,0),4)</f>
        <v>1.0551999999999999</v>
      </c>
      <c r="V15" s="282">
        <f>ROUND(VLOOKUP(MID($E15,4,3),'Wochentag F(WT)'!$B$7:$J$22,V$9,0),4)</f>
        <v>1.0297000000000001</v>
      </c>
      <c r="W15" s="282">
        <f>ROUND(VLOOKUP(MID($E15,4,3),'Wochentag F(WT)'!$B$7:$J$22,W$9,0),4)</f>
        <v>0.97670000000000001</v>
      </c>
      <c r="X15" s="283">
        <f>7-SUM(R15:W15)</f>
        <v>0.9352999999999998</v>
      </c>
      <c r="Y15" s="304"/>
      <c r="Z15" s="213"/>
    </row>
    <row r="16" spans="2:26" s="144" customFormat="1">
      <c r="B16" s="145">
        <v>5</v>
      </c>
      <c r="C16" s="146" t="str">
        <f t="shared" si="0"/>
        <v>Stadtwerke Eschwege GmbH</v>
      </c>
      <c r="D16" s="63" t="s">
        <v>248</v>
      </c>
      <c r="E16" s="166" t="s">
        <v>669</v>
      </c>
      <c r="F16" s="166" t="str">
        <f>VLOOKUP($E16,'BDEW-Standard'!$B$3:$M$158,F$9,0)</f>
        <v>PD4</v>
      </c>
      <c r="H16" s="279">
        <f>ROUND(VLOOKUP($E16,'BDEW-Standard'!$B$3:$M$94,H$9,0),7)</f>
        <v>3.85</v>
      </c>
      <c r="I16" s="279">
        <f>ROUND(VLOOKUP($E16,'BDEW-Standard'!$B$3:$M$94,I$9,0),7)</f>
        <v>-37</v>
      </c>
      <c r="J16" s="279">
        <f>ROUND(VLOOKUP($E16,'BDEW-Standard'!$B$3:$M$94,J$9,0),7)</f>
        <v>10.2405021</v>
      </c>
      <c r="K16" s="279">
        <f>ROUND(VLOOKUP($E16,'BDEW-Standard'!$B$3:$M$94,K$9,0),7)</f>
        <v>4.6924300000000002E-2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ref="Q16:Q26" si="1">($H16/(1+($I16/($Q$9-$L16))^$J16)+$K16)+MAX($M16*$Q$9+$N16,$O16*$Q$9+$P16)</f>
        <v>0.75691065279879233</v>
      </c>
      <c r="R16" s="282">
        <f>ROUND(VLOOKUP(MID($E16,4,3),'Wochentag F(WT)'!$B$7:$J$22,R$9,0),4)</f>
        <v>1.0214000000000001</v>
      </c>
      <c r="S16" s="282">
        <f>ROUND(VLOOKUP(MID($E16,4,3),'Wochentag F(WT)'!$B$7:$J$22,S$9,0),4)</f>
        <v>1.0866</v>
      </c>
      <c r="T16" s="282">
        <f>ROUND(VLOOKUP(MID($E16,4,3),'Wochentag F(WT)'!$B$7:$J$22,T$9,0),4)</f>
        <v>1.0720000000000001</v>
      </c>
      <c r="U16" s="282">
        <f>ROUND(VLOOKUP(MID($E16,4,3),'Wochentag F(WT)'!$B$7:$J$22,U$9,0),4)</f>
        <v>1.0557000000000001</v>
      </c>
      <c r="V16" s="282">
        <f>ROUND(VLOOKUP(MID($E16,4,3),'Wochentag F(WT)'!$B$7:$J$22,V$9,0),4)</f>
        <v>1.0117</v>
      </c>
      <c r="W16" s="282">
        <f>ROUND(VLOOKUP(MID($E16,4,3),'Wochentag F(WT)'!$B$7:$J$22,W$9,0),4)</f>
        <v>0.90010000000000001</v>
      </c>
      <c r="X16" s="283">
        <f t="shared" ref="X16:X26" si="2">7-SUM(R16:W16)</f>
        <v>0.85249999999999915</v>
      </c>
      <c r="Y16" s="304"/>
      <c r="Z16" s="213"/>
    </row>
    <row r="17" spans="2:26" s="144" customFormat="1">
      <c r="B17" s="145">
        <v>6</v>
      </c>
      <c r="C17" s="146" t="str">
        <f t="shared" si="0"/>
        <v>Stadtwerke Eschwege GmbH</v>
      </c>
      <c r="D17" s="63" t="s">
        <v>248</v>
      </c>
      <c r="E17" s="166" t="s">
        <v>670</v>
      </c>
      <c r="F17" s="166" t="str">
        <f>VLOOKUP($E17,'BDEW-Standard'!$B$3:$M$158,F$9,0)</f>
        <v>HD4</v>
      </c>
      <c r="H17" s="279">
        <f>ROUND(VLOOKUP($E17,'BDEW-Standard'!$B$3:$M$94,H$9,0),7)</f>
        <v>3.0084346000000002</v>
      </c>
      <c r="I17" s="279">
        <f>ROUND(VLOOKUP($E17,'BDEW-Standard'!$B$3:$M$94,I$9,0),7)</f>
        <v>-36.607845300000001</v>
      </c>
      <c r="J17" s="279">
        <f>ROUND(VLOOKUP($E17,'BDEW-Standard'!$B$3:$M$94,J$9,0),7)</f>
        <v>7.3211870000000001</v>
      </c>
      <c r="K17" s="279">
        <f>ROUND(VLOOKUP($E17,'BDEW-Standard'!$B$3:$M$94,K$9,0),7)</f>
        <v>0.15496599999999999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0.97302438504000599</v>
      </c>
      <c r="R17" s="282">
        <f>ROUND(VLOOKUP(MID($E17,4,3),'Wochentag F(WT)'!$B$7:$J$22,R$9,0),4)</f>
        <v>1.03</v>
      </c>
      <c r="S17" s="282">
        <f>ROUND(VLOOKUP(MID($E17,4,3),'Wochentag F(WT)'!$B$7:$J$22,S$9,0),4)</f>
        <v>1.03</v>
      </c>
      <c r="T17" s="282">
        <f>ROUND(VLOOKUP(MID($E17,4,3),'Wochentag F(WT)'!$B$7:$J$22,T$9,0),4)</f>
        <v>1.02</v>
      </c>
      <c r="U17" s="282">
        <f>ROUND(VLOOKUP(MID($E17,4,3),'Wochentag F(WT)'!$B$7:$J$22,U$9,0),4)</f>
        <v>1.03</v>
      </c>
      <c r="V17" s="282">
        <f>ROUND(VLOOKUP(MID($E17,4,3),'Wochentag F(WT)'!$B$7:$J$22,V$9,0),4)</f>
        <v>1.01</v>
      </c>
      <c r="W17" s="282">
        <f>ROUND(VLOOKUP(MID($E17,4,3),'Wochentag F(WT)'!$B$7:$J$22,W$9,0),4)</f>
        <v>0.93</v>
      </c>
      <c r="X17" s="283">
        <f t="shared" si="2"/>
        <v>0.95000000000000018</v>
      </c>
      <c r="Y17" s="304"/>
      <c r="Z17" s="213"/>
    </row>
    <row r="18" spans="2:26" s="144" customFormat="1">
      <c r="B18" s="145">
        <v>7</v>
      </c>
      <c r="C18" s="146" t="str">
        <f t="shared" si="0"/>
        <v>Stadtwerke Eschwege GmbH</v>
      </c>
      <c r="D18" s="63" t="s">
        <v>248</v>
      </c>
      <c r="E18" s="166" t="s">
        <v>671</v>
      </c>
      <c r="F18" s="166" t="str">
        <f>VLOOKUP($E18,'BDEW-Standard'!$B$3:$M$158,F$9,0)</f>
        <v>WA4</v>
      </c>
      <c r="H18" s="279">
        <f>ROUND(VLOOKUP($E18,'BDEW-Standard'!$B$3:$M$94,H$9,0),7)</f>
        <v>1.0535874999999999</v>
      </c>
      <c r="I18" s="279">
        <f>ROUND(VLOOKUP($E18,'BDEW-Standard'!$B$3:$M$94,I$9,0),7)</f>
        <v>-35.299999999999997</v>
      </c>
      <c r="J18" s="279">
        <f>ROUND(VLOOKUP($E18,'BDEW-Standard'!$B$3:$M$94,J$9,0),7)</f>
        <v>4.8662747</v>
      </c>
      <c r="K18" s="279">
        <f>ROUND(VLOOKUP($E18,'BDEW-Standard'!$B$3:$M$94,K$9,0),7)</f>
        <v>0.68110420000000005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1.0844348950990992</v>
      </c>
      <c r="R18" s="282">
        <f>ROUND(VLOOKUP(MID($E18,4,3),'Wochentag F(WT)'!$B$7:$J$22,R$9,0),4)</f>
        <v>1.2457</v>
      </c>
      <c r="S18" s="282">
        <f>ROUND(VLOOKUP(MID($E18,4,3),'Wochentag F(WT)'!$B$7:$J$22,S$9,0),4)</f>
        <v>1.2615000000000001</v>
      </c>
      <c r="T18" s="282">
        <f>ROUND(VLOOKUP(MID($E18,4,3),'Wochentag F(WT)'!$B$7:$J$22,T$9,0),4)</f>
        <v>1.2706999999999999</v>
      </c>
      <c r="U18" s="282">
        <f>ROUND(VLOOKUP(MID($E18,4,3),'Wochentag F(WT)'!$B$7:$J$22,U$9,0),4)</f>
        <v>1.2430000000000001</v>
      </c>
      <c r="V18" s="282">
        <f>ROUND(VLOOKUP(MID($E18,4,3),'Wochentag F(WT)'!$B$7:$J$22,V$9,0),4)</f>
        <v>1.1275999999999999</v>
      </c>
      <c r="W18" s="282">
        <f>ROUND(VLOOKUP(MID($E18,4,3),'Wochentag F(WT)'!$B$7:$J$22,W$9,0),4)</f>
        <v>0.38769999999999999</v>
      </c>
      <c r="X18" s="283">
        <f t="shared" si="2"/>
        <v>0.46379999999999999</v>
      </c>
      <c r="Y18" s="304"/>
      <c r="Z18" s="213"/>
    </row>
    <row r="19" spans="2:26" s="144" customFormat="1">
      <c r="B19" s="145">
        <v>8</v>
      </c>
      <c r="C19" s="146" t="str">
        <f t="shared" si="0"/>
        <v>Stadtwerke Eschwege GmbH</v>
      </c>
      <c r="D19" s="63" t="s">
        <v>248</v>
      </c>
      <c r="E19" s="166" t="s">
        <v>672</v>
      </c>
      <c r="F19" s="166" t="str">
        <f>VLOOKUP($E19,'BDEW-Standard'!$B$3:$M$158,F$9,0)</f>
        <v>BH4</v>
      </c>
      <c r="H19" s="279">
        <f>ROUND(VLOOKUP($E19,'BDEW-Standard'!$B$3:$M$94,H$9,0),7)</f>
        <v>2.4595180999999999</v>
      </c>
      <c r="I19" s="279">
        <f>ROUND(VLOOKUP($E19,'BDEW-Standard'!$B$3:$M$94,I$9,0),7)</f>
        <v>-35.253212400000002</v>
      </c>
      <c r="J19" s="279">
        <f>ROUND(VLOOKUP($E19,'BDEW-Standard'!$B$3:$M$94,J$9,0),7)</f>
        <v>6.0587001000000003</v>
      </c>
      <c r="K19" s="279">
        <f>ROUND(VLOOKUP($E19,'BDEW-Standard'!$B$3:$M$94,K$9,0),7)</f>
        <v>0.16473699999999999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1.043802057143173</v>
      </c>
      <c r="R19" s="282">
        <f>ROUND(VLOOKUP(MID($E19,4,3),'Wochentag F(WT)'!$B$7:$J$22,R$9,0),4)</f>
        <v>0.97670000000000001</v>
      </c>
      <c r="S19" s="282">
        <f>ROUND(VLOOKUP(MID($E19,4,3),'Wochentag F(WT)'!$B$7:$J$22,S$9,0),4)</f>
        <v>1.0388999999999999</v>
      </c>
      <c r="T19" s="282">
        <f>ROUND(VLOOKUP(MID($E19,4,3),'Wochentag F(WT)'!$B$7:$J$22,T$9,0),4)</f>
        <v>1.0027999999999999</v>
      </c>
      <c r="U19" s="282">
        <f>ROUND(VLOOKUP(MID($E19,4,3),'Wochentag F(WT)'!$B$7:$J$22,U$9,0),4)</f>
        <v>1.0162</v>
      </c>
      <c r="V19" s="282">
        <f>ROUND(VLOOKUP(MID($E19,4,3),'Wochentag F(WT)'!$B$7:$J$22,V$9,0),4)</f>
        <v>1.0024</v>
      </c>
      <c r="W19" s="282">
        <f>ROUND(VLOOKUP(MID($E19,4,3),'Wochentag F(WT)'!$B$7:$J$22,W$9,0),4)</f>
        <v>1.0043</v>
      </c>
      <c r="X19" s="283">
        <f t="shared" si="2"/>
        <v>0.95870000000000122</v>
      </c>
      <c r="Y19" s="304"/>
      <c r="Z19" s="213"/>
    </row>
    <row r="20" spans="2:26" s="144" customFormat="1">
      <c r="B20" s="145">
        <v>9</v>
      </c>
      <c r="C20" s="146" t="str">
        <f t="shared" si="0"/>
        <v>Stadtwerke Eschwege GmbH</v>
      </c>
      <c r="D20" s="63" t="s">
        <v>248</v>
      </c>
      <c r="E20" s="166" t="s">
        <v>673</v>
      </c>
      <c r="F20" s="166" t="str">
        <f>VLOOKUP($E20,'BDEW-Standard'!$B$3:$M$158,F$9,0)</f>
        <v>GA4</v>
      </c>
      <c r="H20" s="279">
        <f>ROUND(VLOOKUP($E20,'BDEW-Standard'!$B$3:$M$94,H$9,0),7)</f>
        <v>2.8195655999999998</v>
      </c>
      <c r="I20" s="279">
        <f>ROUND(VLOOKUP($E20,'BDEW-Standard'!$B$3:$M$94,I$9,0),7)</f>
        <v>-36</v>
      </c>
      <c r="J20" s="279">
        <f>ROUND(VLOOKUP($E20,'BDEW-Standard'!$B$3:$M$94,J$9,0),7)</f>
        <v>7.7368518000000002</v>
      </c>
      <c r="K20" s="279">
        <f>ROUND(VLOOKUP($E20,'BDEW-Standard'!$B$3:$M$94,K$9,0),7)</f>
        <v>0.157281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0.96576337685759206</v>
      </c>
      <c r="R20" s="282">
        <f>ROUND(VLOOKUP(MID($E20,4,3),'Wochentag F(WT)'!$B$7:$J$22,R$9,0),4)</f>
        <v>0.93220000000000003</v>
      </c>
      <c r="S20" s="282">
        <f>ROUND(VLOOKUP(MID($E20,4,3),'Wochentag F(WT)'!$B$7:$J$22,S$9,0),4)</f>
        <v>0.98939999999999995</v>
      </c>
      <c r="T20" s="282">
        <f>ROUND(VLOOKUP(MID($E20,4,3),'Wochentag F(WT)'!$B$7:$J$22,T$9,0),4)</f>
        <v>1.0033000000000001</v>
      </c>
      <c r="U20" s="282">
        <f>ROUND(VLOOKUP(MID($E20,4,3),'Wochentag F(WT)'!$B$7:$J$22,U$9,0),4)</f>
        <v>1.0108999999999999</v>
      </c>
      <c r="V20" s="282">
        <f>ROUND(VLOOKUP(MID($E20,4,3),'Wochentag F(WT)'!$B$7:$J$22,V$9,0),4)</f>
        <v>1.018</v>
      </c>
      <c r="W20" s="282">
        <f>ROUND(VLOOKUP(MID($E20,4,3),'Wochentag F(WT)'!$B$7:$J$22,W$9,0),4)</f>
        <v>1.0356000000000001</v>
      </c>
      <c r="X20" s="283">
        <f t="shared" si="2"/>
        <v>1.0106000000000002</v>
      </c>
      <c r="Y20" s="304"/>
      <c r="Z20" s="213"/>
    </row>
    <row r="21" spans="2:26" s="144" customFormat="1">
      <c r="B21" s="145">
        <v>10</v>
      </c>
      <c r="C21" s="146" t="str">
        <f t="shared" si="0"/>
        <v>Stadtwerke Eschwege GmbH</v>
      </c>
      <c r="D21" s="63" t="s">
        <v>248</v>
      </c>
      <c r="E21" s="166" t="s">
        <v>674</v>
      </c>
      <c r="F21" s="166" t="str">
        <f>VLOOKUP($E21,'BDEW-Standard'!$B$3:$M$158,F$9,0)</f>
        <v>BD4</v>
      </c>
      <c r="H21" s="279">
        <f>ROUND(VLOOKUP($E21,'BDEW-Standard'!$B$3:$M$94,H$9,0),7)</f>
        <v>3.75</v>
      </c>
      <c r="I21" s="279">
        <f>ROUND(VLOOKUP($E21,'BDEW-Standard'!$B$3:$M$94,I$9,0),7)</f>
        <v>-37.5</v>
      </c>
      <c r="J21" s="279">
        <f>ROUND(VLOOKUP($E21,'BDEW-Standard'!$B$3:$M$94,J$9,0),7)</f>
        <v>6.8</v>
      </c>
      <c r="K21" s="279">
        <f>ROUND(VLOOKUP($E21,'BDEW-Standard'!$B$3:$M$94,K$9,0),7)</f>
        <v>6.0911300000000002E-2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1.0126136468627658</v>
      </c>
      <c r="R21" s="282">
        <f>ROUND(VLOOKUP(MID($E21,4,3),'Wochentag F(WT)'!$B$7:$J$22,R$9,0),4)</f>
        <v>1.1052</v>
      </c>
      <c r="S21" s="282">
        <f>ROUND(VLOOKUP(MID($E21,4,3),'Wochentag F(WT)'!$B$7:$J$22,S$9,0),4)</f>
        <v>1.0857000000000001</v>
      </c>
      <c r="T21" s="282">
        <f>ROUND(VLOOKUP(MID($E21,4,3),'Wochentag F(WT)'!$B$7:$J$22,T$9,0),4)</f>
        <v>1.0378000000000001</v>
      </c>
      <c r="U21" s="282">
        <f>ROUND(VLOOKUP(MID($E21,4,3),'Wochentag F(WT)'!$B$7:$J$22,U$9,0),4)</f>
        <v>1.0622</v>
      </c>
      <c r="V21" s="282">
        <f>ROUND(VLOOKUP(MID($E21,4,3),'Wochentag F(WT)'!$B$7:$J$22,V$9,0),4)</f>
        <v>1.0266</v>
      </c>
      <c r="W21" s="282">
        <f>ROUND(VLOOKUP(MID($E21,4,3),'Wochentag F(WT)'!$B$7:$J$22,W$9,0),4)</f>
        <v>0.76290000000000002</v>
      </c>
      <c r="X21" s="283">
        <f t="shared" si="2"/>
        <v>0.91959999999999997</v>
      </c>
      <c r="Y21" s="304"/>
      <c r="Z21" s="213"/>
    </row>
    <row r="22" spans="2:26" s="144" customFormat="1">
      <c r="B22" s="145">
        <v>11</v>
      </c>
      <c r="C22" s="146" t="str">
        <f t="shared" si="0"/>
        <v>Stadtwerke Eschwege GmbH</v>
      </c>
      <c r="D22" s="63" t="s">
        <v>248</v>
      </c>
      <c r="E22" s="166" t="s">
        <v>675</v>
      </c>
      <c r="F22" s="166" t="str">
        <f>VLOOKUP($E22,'BDEW-Standard'!$B$3:$M$158,F$9,0)</f>
        <v>KO4</v>
      </c>
      <c r="H22" s="279">
        <f>ROUND(VLOOKUP($E22,'BDEW-Standard'!$B$3:$M$94,H$9,0),7)</f>
        <v>3.4428942999999999</v>
      </c>
      <c r="I22" s="279">
        <f>ROUND(VLOOKUP($E22,'BDEW-Standard'!$B$3:$M$94,I$9,0),7)</f>
        <v>-36.659050399999998</v>
      </c>
      <c r="J22" s="279">
        <f>ROUND(VLOOKUP($E22,'BDEW-Standard'!$B$3:$M$94,J$9,0),7)</f>
        <v>7.6083226000000002</v>
      </c>
      <c r="K22" s="279">
        <f>ROUND(VLOOKUP($E22,'BDEW-Standard'!$B$3:$M$94,K$9,0),7)</f>
        <v>7.4685000000000001E-2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0.97768382110526542</v>
      </c>
      <c r="R22" s="282">
        <f>ROUND(VLOOKUP(MID($E22,4,3),'Wochentag F(WT)'!$B$7:$J$22,R$9,0),4)</f>
        <v>1.0354000000000001</v>
      </c>
      <c r="S22" s="282">
        <f>ROUND(VLOOKUP(MID($E22,4,3),'Wochentag F(WT)'!$B$7:$J$22,S$9,0),4)</f>
        <v>1.0523</v>
      </c>
      <c r="T22" s="282">
        <f>ROUND(VLOOKUP(MID($E22,4,3),'Wochentag F(WT)'!$B$7:$J$22,T$9,0),4)</f>
        <v>1.0448999999999999</v>
      </c>
      <c r="U22" s="282">
        <f>ROUND(VLOOKUP(MID($E22,4,3),'Wochentag F(WT)'!$B$7:$J$22,U$9,0),4)</f>
        <v>1.0494000000000001</v>
      </c>
      <c r="V22" s="282">
        <f>ROUND(VLOOKUP(MID($E22,4,3),'Wochentag F(WT)'!$B$7:$J$22,V$9,0),4)</f>
        <v>0.98850000000000005</v>
      </c>
      <c r="W22" s="282">
        <f>ROUND(VLOOKUP(MID($E22,4,3),'Wochentag F(WT)'!$B$7:$J$22,W$9,0),4)</f>
        <v>0.88600000000000001</v>
      </c>
      <c r="X22" s="283">
        <f t="shared" si="2"/>
        <v>0.94349999999999934</v>
      </c>
      <c r="Y22" s="304"/>
      <c r="Z22" s="213"/>
    </row>
    <row r="23" spans="2:26" s="144" customFormat="1">
      <c r="B23" s="145">
        <v>12</v>
      </c>
      <c r="C23" s="146" t="str">
        <f t="shared" si="0"/>
        <v>Stadtwerke Eschwege GmbH</v>
      </c>
      <c r="D23" s="63" t="s">
        <v>248</v>
      </c>
      <c r="E23" s="166" t="s">
        <v>676</v>
      </c>
      <c r="F23" s="166" t="str">
        <f>VLOOKUP($E23,'BDEW-Standard'!$B$3:$M$158,F$9,0)</f>
        <v>HA4</v>
      </c>
      <c r="H23" s="279">
        <f>ROUND(VLOOKUP($E23,'BDEW-Standard'!$B$3:$M$94,H$9,0),7)</f>
        <v>4.0196902000000003</v>
      </c>
      <c r="I23" s="279">
        <f>ROUND(VLOOKUP($E23,'BDEW-Standard'!$B$3:$M$94,I$9,0),7)</f>
        <v>-37.828203700000003</v>
      </c>
      <c r="J23" s="279">
        <f>ROUND(VLOOKUP($E23,'BDEW-Standard'!$B$3:$M$94,J$9,0),7)</f>
        <v>8.1593368999999996</v>
      </c>
      <c r="K23" s="279">
        <f>ROUND(VLOOKUP($E23,'BDEW-Standard'!$B$3:$M$94,K$9,0),7)</f>
        <v>4.72845E-2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0.86486713303260787</v>
      </c>
      <c r="R23" s="282">
        <f>ROUND(VLOOKUP(MID($E23,4,3),'Wochentag F(WT)'!$B$7:$J$22,R$9,0),4)</f>
        <v>1.0358000000000001</v>
      </c>
      <c r="S23" s="282">
        <f>ROUND(VLOOKUP(MID($E23,4,3),'Wochentag F(WT)'!$B$7:$J$22,S$9,0),4)</f>
        <v>1.0232000000000001</v>
      </c>
      <c r="T23" s="282">
        <f>ROUND(VLOOKUP(MID($E23,4,3),'Wochentag F(WT)'!$B$7:$J$22,T$9,0),4)</f>
        <v>1.0251999999999999</v>
      </c>
      <c r="U23" s="282">
        <f>ROUND(VLOOKUP(MID($E23,4,3),'Wochentag F(WT)'!$B$7:$J$22,U$9,0),4)</f>
        <v>1.0295000000000001</v>
      </c>
      <c r="V23" s="282">
        <f>ROUND(VLOOKUP(MID($E23,4,3),'Wochentag F(WT)'!$B$7:$J$22,V$9,0),4)</f>
        <v>1.0253000000000001</v>
      </c>
      <c r="W23" s="282">
        <f>ROUND(VLOOKUP(MID($E23,4,3),'Wochentag F(WT)'!$B$7:$J$22,W$9,0),4)</f>
        <v>0.96750000000000003</v>
      </c>
      <c r="X23" s="283">
        <f t="shared" si="2"/>
        <v>0.89350000000000041</v>
      </c>
      <c r="Y23" s="304"/>
      <c r="Z23" s="213"/>
    </row>
    <row r="24" spans="2:26" s="144" customFormat="1">
      <c r="B24" s="145">
        <v>13</v>
      </c>
      <c r="C24" s="146" t="str">
        <f t="shared" si="0"/>
        <v>Stadtwerke Eschwege GmbH</v>
      </c>
      <c r="D24" s="63" t="s">
        <v>248</v>
      </c>
      <c r="E24" s="166" t="s">
        <v>677</v>
      </c>
      <c r="F24" s="166" t="str">
        <f>VLOOKUP($E24,'BDEW-Standard'!$B$3:$M$158,F$9,0)</f>
        <v>MK4</v>
      </c>
      <c r="H24" s="279">
        <f>ROUND(VLOOKUP($E24,'BDEW-Standard'!$B$3:$M$94,H$9,0),7)</f>
        <v>3.1177248</v>
      </c>
      <c r="I24" s="279">
        <f>ROUND(VLOOKUP($E24,'BDEW-Standard'!$B$3:$M$94,I$9,0),7)</f>
        <v>-35.871506199999999</v>
      </c>
      <c r="J24" s="279">
        <f>ROUND(VLOOKUP($E24,'BDEW-Standard'!$B$3:$M$94,J$9,0),7)</f>
        <v>7.5186828999999999</v>
      </c>
      <c r="K24" s="279">
        <f>ROUND(VLOOKUP($E24,'BDEW-Standard'!$B$3:$M$94,K$9,0),7)</f>
        <v>3.4330100000000002E-2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0.9622064996731321</v>
      </c>
      <c r="R24" s="282">
        <f>ROUND(VLOOKUP(MID($E24,4,3),'Wochentag F(WT)'!$B$7:$J$22,R$9,0),4)</f>
        <v>1.0699000000000001</v>
      </c>
      <c r="S24" s="282">
        <f>ROUND(VLOOKUP(MID($E24,4,3),'Wochentag F(WT)'!$B$7:$J$22,S$9,0),4)</f>
        <v>1.0365</v>
      </c>
      <c r="T24" s="282">
        <f>ROUND(VLOOKUP(MID($E24,4,3),'Wochentag F(WT)'!$B$7:$J$22,T$9,0),4)</f>
        <v>0.99329999999999996</v>
      </c>
      <c r="U24" s="282">
        <f>ROUND(VLOOKUP(MID($E24,4,3),'Wochentag F(WT)'!$B$7:$J$22,U$9,0),4)</f>
        <v>0.99480000000000002</v>
      </c>
      <c r="V24" s="282">
        <f>ROUND(VLOOKUP(MID($E24,4,3),'Wochentag F(WT)'!$B$7:$J$22,V$9,0),4)</f>
        <v>1.0659000000000001</v>
      </c>
      <c r="W24" s="282">
        <f>ROUND(VLOOKUP(MID($E24,4,3),'Wochentag F(WT)'!$B$7:$J$22,W$9,0),4)</f>
        <v>0.93620000000000003</v>
      </c>
      <c r="X24" s="283">
        <f t="shared" si="2"/>
        <v>0.90339999999999954</v>
      </c>
      <c r="Y24" s="304"/>
      <c r="Z24" s="213"/>
    </row>
    <row r="25" spans="2:26" s="144" customFormat="1">
      <c r="B25" s="145">
        <v>14</v>
      </c>
      <c r="C25" s="146" t="str">
        <f t="shared" si="0"/>
        <v>Stadtwerke Eschwege GmbH</v>
      </c>
      <c r="D25" s="63" t="s">
        <v>248</v>
      </c>
      <c r="E25" s="166" t="s">
        <v>4</v>
      </c>
      <c r="F25" s="166" t="str">
        <f>VLOOKUP($E25,'BDEW-Standard'!$B$3:$M$158,F$9,0)</f>
        <v>HK3</v>
      </c>
      <c r="H25" s="279">
        <f>ROUND(VLOOKUP($E25,'BDEW-Standard'!$B$3:$M$94,H$9,0),7)</f>
        <v>0.40409319999999999</v>
      </c>
      <c r="I25" s="279">
        <f>ROUND(VLOOKUP($E25,'BDEW-Standard'!$B$3:$M$94,I$9,0),7)</f>
        <v>-24.439296800000001</v>
      </c>
      <c r="J25" s="279">
        <f>ROUND(VLOOKUP($E25,'BDEW-Standard'!$B$3:$M$94,J$9,0),7)</f>
        <v>6.5718174999999999</v>
      </c>
      <c r="K25" s="279">
        <f>ROUND(VLOOKUP($E25,'BDEW-Standard'!$B$3:$M$94,K$9,0),7)</f>
        <v>0.71077100000000004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1.0561214000512988</v>
      </c>
      <c r="R25" s="282">
        <f>ROUND(VLOOKUP(MID($E25,4,3),'Wochentag F(WT)'!$B$7:$J$22,R$9,0),4)</f>
        <v>1</v>
      </c>
      <c r="S25" s="282">
        <f>ROUND(VLOOKUP(MID($E25,4,3),'Wochentag F(WT)'!$B$7:$J$22,S$9,0),4)</f>
        <v>1</v>
      </c>
      <c r="T25" s="282">
        <f>ROUND(VLOOKUP(MID($E25,4,3),'Wochentag F(WT)'!$B$7:$J$22,T$9,0),4)</f>
        <v>1</v>
      </c>
      <c r="U25" s="282">
        <f>ROUND(VLOOKUP(MID($E25,4,3),'Wochentag F(WT)'!$B$7:$J$22,U$9,0),4)</f>
        <v>1</v>
      </c>
      <c r="V25" s="282">
        <f>ROUND(VLOOKUP(MID($E25,4,3),'Wochentag F(WT)'!$B$7:$J$22,V$9,0),4)</f>
        <v>1</v>
      </c>
      <c r="W25" s="282">
        <f>ROUND(VLOOKUP(MID($E25,4,3),'Wochentag F(WT)'!$B$7:$J$22,W$9,0),4)</f>
        <v>1</v>
      </c>
      <c r="X25" s="283">
        <f t="shared" si="2"/>
        <v>1</v>
      </c>
      <c r="Y25" s="304"/>
      <c r="Z25" s="213"/>
    </row>
    <row r="26" spans="2:26" s="144" customFormat="1">
      <c r="B26" s="145">
        <v>15</v>
      </c>
      <c r="C26" s="146" t="str">
        <f t="shared" si="0"/>
        <v>Stadtwerke Eschwege GmbH</v>
      </c>
      <c r="D26" s="63" t="s">
        <v>248</v>
      </c>
      <c r="E26" s="166" t="s">
        <v>666</v>
      </c>
      <c r="F26" s="166" t="str">
        <f>VLOOKUP($E26,'BDEW-Standard'!$B$3:$M$158,F$9,0)</f>
        <v>D24</v>
      </c>
      <c r="H26" s="279">
        <f>ROUND(VLOOKUP($E26,'BDEW-Standard'!$B$3:$M$94,H$9,0),7)</f>
        <v>2.5187775000000001</v>
      </c>
      <c r="I26" s="279">
        <f>ROUND(VLOOKUP($E26,'BDEW-Standard'!$B$3:$M$94,I$9,0),7)</f>
        <v>-35.033375399999997</v>
      </c>
      <c r="J26" s="279">
        <f>ROUND(VLOOKUP($E26,'BDEW-Standard'!$B$3:$M$94,J$9,0),7)</f>
        <v>6.2240634000000004</v>
      </c>
      <c r="K26" s="279">
        <f>ROUND(VLOOKUP($E26,'BDEW-Standard'!$B$3:$M$94,K$9,0),7)</f>
        <v>0.10107820000000001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1.0146273685996503</v>
      </c>
      <c r="R26" s="282">
        <f>ROUND(VLOOKUP(MID($E26,4,3),'Wochentag F(WT)'!$B$7:$J$22,R$9,0),4)</f>
        <v>1</v>
      </c>
      <c r="S26" s="282">
        <f>ROUND(VLOOKUP(MID($E26,4,3),'Wochentag F(WT)'!$B$7:$J$22,S$9,0),4)</f>
        <v>1</v>
      </c>
      <c r="T26" s="282">
        <f>ROUND(VLOOKUP(MID($E26,4,3),'Wochentag F(WT)'!$B$7:$J$22,T$9,0),4)</f>
        <v>1</v>
      </c>
      <c r="U26" s="282">
        <f>ROUND(VLOOKUP(MID($E26,4,3),'Wochentag F(WT)'!$B$7:$J$22,U$9,0),4)</f>
        <v>1</v>
      </c>
      <c r="V26" s="282">
        <f>ROUND(VLOOKUP(MID($E26,4,3),'Wochentag F(WT)'!$B$7:$J$22,V$9,0),4)</f>
        <v>1</v>
      </c>
      <c r="W26" s="282">
        <f>ROUND(VLOOKUP(MID($E26,4,3),'Wochentag F(WT)'!$B$7:$J$22,W$9,0),4)</f>
        <v>1</v>
      </c>
      <c r="X26" s="283">
        <f t="shared" si="2"/>
        <v>1</v>
      </c>
      <c r="Y26" s="304"/>
      <c r="Z26" s="213"/>
    </row>
    <row r="27" spans="2:26" s="144" customFormat="1">
      <c r="B27" s="145">
        <v>16</v>
      </c>
      <c r="C27" s="146" t="str">
        <f t="shared" si="0"/>
        <v>Stadtwerke Eschwege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Eschwege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Eschwege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Eschwege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Eschwege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Eschwege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Eschwege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Eschwege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Eschwege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Eschwege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Eschwege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Eschwege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Eschwege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Eschwege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Eschwege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 H11:Y41 F27:F41">
    <cfRule type="expression" dxfId="12" priority="11">
      <formula>ISERROR(F11)</formula>
    </cfRule>
  </conditionalFormatting>
  <conditionalFormatting sqref="E12 E27:F41 Y12:Y41">
    <cfRule type="duplicateValues" dxfId="11" priority="33"/>
  </conditionalFormatting>
  <conditionalFormatting sqref="E13:E26">
    <cfRule type="duplicateValues" dxfId="10" priority="2"/>
  </conditionalFormatting>
  <conditionalFormatting sqref="F12:F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457</v>
      </c>
      <c r="F1" s="218" t="s">
        <v>550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H5" sqref="H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449</v>
      </c>
    </row>
    <row r="3" spans="2:30" ht="15" customHeight="1">
      <c r="B3" s="85"/>
    </row>
    <row r="4" spans="2:30" ht="15" customHeight="1">
      <c r="B4" s="86" t="s">
        <v>448</v>
      </c>
      <c r="C4" s="64" t="str">
        <f>Netzbetreiber!$D$9</f>
        <v>Stadtwerke Eschwege GmbH</v>
      </c>
      <c r="D4" s="77"/>
      <c r="G4" s="77"/>
      <c r="I4" s="77"/>
      <c r="J4" s="78"/>
      <c r="M4" s="87" t="s">
        <v>544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447</v>
      </c>
      <c r="C5" s="65" t="str">
        <f>Netzbetreiber!D28</f>
        <v>Stadtwerke Eschwege GmbH</v>
      </c>
      <c r="D5" s="37"/>
      <c r="E5" s="77"/>
      <c r="F5" s="77"/>
      <c r="G5" s="77"/>
      <c r="I5" s="77"/>
      <c r="J5" s="77"/>
      <c r="K5" s="77"/>
      <c r="L5" s="77"/>
      <c r="M5" s="89" t="s">
        <v>513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445</v>
      </c>
      <c r="C6" s="64" t="str">
        <f>Netzbetreiber!$D$11</f>
        <v>9870084800002 .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3" t="s">
        <v>461</v>
      </c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470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8" t="s">
        <v>588</v>
      </c>
      <c r="C10" s="349"/>
      <c r="D10" s="95">
        <v>2</v>
      </c>
      <c r="E10" s="96" t="str">
        <f>IF(ISERROR(HLOOKUP(E$11,$M$9:$AD$33,$D10,0)),"",HLOOKUP(E$11,$M$9:$AD$33,$D10,0))</f>
        <v/>
      </c>
      <c r="F10" s="346" t="s">
        <v>399</v>
      </c>
      <c r="G10" s="346"/>
      <c r="H10" s="346"/>
      <c r="I10" s="346"/>
      <c r="J10" s="346"/>
      <c r="K10" s="346"/>
      <c r="L10" s="347"/>
      <c r="M10" s="97" t="s">
        <v>471</v>
      </c>
      <c r="N10" s="98" t="s">
        <v>472</v>
      </c>
      <c r="O10" s="99" t="s">
        <v>473</v>
      </c>
      <c r="P10" s="100" t="s">
        <v>474</v>
      </c>
      <c r="Q10" s="100" t="s">
        <v>475</v>
      </c>
      <c r="R10" s="100" t="s">
        <v>476</v>
      </c>
      <c r="S10" s="100" t="s">
        <v>477</v>
      </c>
      <c r="T10" s="100" t="s">
        <v>478</v>
      </c>
      <c r="U10" s="100" t="s">
        <v>479</v>
      </c>
      <c r="V10" s="100" t="s">
        <v>480</v>
      </c>
      <c r="W10" s="100" t="s">
        <v>481</v>
      </c>
      <c r="X10" s="100" t="s">
        <v>482</v>
      </c>
      <c r="Y10" s="100" t="s">
        <v>483</v>
      </c>
      <c r="Z10" s="100" t="s">
        <v>484</v>
      </c>
      <c r="AA10" s="100" t="s">
        <v>485</v>
      </c>
      <c r="AB10" s="100" t="s">
        <v>486</v>
      </c>
      <c r="AC10" s="101" t="s">
        <v>487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1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6">
        <f t="shared" si="0"/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654</v>
      </c>
      <c r="C20" s="118"/>
      <c r="D20" s="112">
        <v>12</v>
      </c>
      <c r="E20" s="316">
        <f t="shared" si="0"/>
        <v>1</v>
      </c>
      <c r="F20" s="313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6">
        <f t="shared" si="0"/>
        <v>1</v>
      </c>
      <c r="F22" s="313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6">
        <f t="shared" si="0"/>
        <v>1</v>
      </c>
      <c r="F23" s="313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6">
        <f t="shared" si="0"/>
        <v>0</v>
      </c>
      <c r="F24" s="313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6">
        <f t="shared" si="0"/>
        <v>0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6">
        <f t="shared" si="0"/>
        <v>1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6">
        <f t="shared" si="0"/>
        <v>0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6">
        <f t="shared" si="0"/>
        <v>0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6">
        <f t="shared" si="0"/>
        <v>0</v>
      </c>
      <c r="F29" s="313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6">
        <f t="shared" si="0"/>
        <v>0</v>
      </c>
      <c r="F30" s="313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6">
        <f t="shared" si="0"/>
        <v>1</v>
      </c>
      <c r="F31" s="313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6">
        <f t="shared" si="0"/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7">
        <f t="shared" si="0"/>
        <v>0</v>
      </c>
      <c r="F33" s="314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458</v>
      </c>
      <c r="B1" s="129"/>
      <c r="D1" s="218" t="s">
        <v>550</v>
      </c>
    </row>
    <row r="2" spans="1:16">
      <c r="A2" s="238"/>
      <c r="B2" s="237" t="s">
        <v>459</v>
      </c>
    </row>
    <row r="3" spans="1:16" ht="20.100000000000001" customHeight="1">
      <c r="A3" s="350" t="s">
        <v>249</v>
      </c>
      <c r="B3" s="239" t="s">
        <v>86</v>
      </c>
      <c r="C3" s="240"/>
      <c r="D3" s="352" t="s">
        <v>460</v>
      </c>
      <c r="E3" s="353"/>
      <c r="F3" s="353"/>
      <c r="G3" s="353"/>
      <c r="H3" s="353"/>
      <c r="I3" s="353"/>
      <c r="J3" s="354"/>
      <c r="K3" s="241"/>
      <c r="L3" s="241"/>
      <c r="M3" s="241"/>
      <c r="N3" s="241"/>
      <c r="O3" s="242"/>
      <c r="P3" s="241"/>
    </row>
    <row r="4" spans="1:16" ht="20.100000000000001" customHeight="1">
      <c r="A4" s="351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tdegenhardt</cp:lastModifiedBy>
  <cp:lastPrinted>2015-03-20T22:59:10Z</cp:lastPrinted>
  <dcterms:created xsi:type="dcterms:W3CDTF">2015-01-15T05:25:41Z</dcterms:created>
  <dcterms:modified xsi:type="dcterms:W3CDTF">2015-07-22T08:59:03Z</dcterms:modified>
</cp:coreProperties>
</file>